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hidePivotFieldList="1" defaultThemeVersion="166925"/>
  <bookViews>
    <workbookView xWindow="36616" yWindow="65416" windowWidth="29040" windowHeight="15840" activeTab="0"/>
  </bookViews>
  <sheets>
    <sheet name="Summary" sheetId="11" r:id="rId1"/>
    <sheet name="EF Summary" sheetId="3" r:id="rId2"/>
    <sheet name="GHS + SPE Summary" sheetId="7" r:id="rId3"/>
    <sheet name="VCT Summary" sheetId="10" r:id="rId4"/>
    <sheet name="Blotter 2019 - Cleansed" sheetId="2" r:id="rId5"/>
    <sheet name="GHS + SPE" sheetId="6" r:id="rId6"/>
    <sheet name="VCT" sheetId="8" r:id="rId7"/>
    <sheet name="Blotter 2019" sheetId="1" r:id="rId8"/>
    <sheet name="GHS - from INDOS" sheetId="4" r:id="rId9"/>
    <sheet name="SPE_LP - from INDOS" sheetId="5" r:id="rId10"/>
    <sheet name="Investran" sheetId="9" r:id="rId11"/>
    <sheet name="BERTHA 31.12.19" sheetId="12" r:id="rId12"/>
  </sheets>
  <externalReferences>
    <externalReference r:id="rId18"/>
  </externalReferences>
  <definedNames>
    <definedName name="_xlnm._FilterDatabase" localSheetId="7" hidden="1">'Blotter 2019'!$B$2:$AH$632</definedName>
    <definedName name="_xlnm._FilterDatabase" localSheetId="4" hidden="1">'Blotter 2019 - Cleansed'!$B$2:$AI$578</definedName>
    <definedName name="_xlnm._FilterDatabase" localSheetId="8" hidden="1">'GHS - from INDOS'!$B$5:$O$204</definedName>
    <definedName name="_xlnm._FilterDatabase" localSheetId="5" hidden="1">'GHS + SPE'!$C$5:$P$107</definedName>
    <definedName name="_xlnm._FilterDatabase" localSheetId="10" hidden="1">'Investran'!$B$6:$R$80</definedName>
    <definedName name="_xlnm._FilterDatabase" localSheetId="6" hidden="1">'VCT'!$B$6:$S$60</definedName>
  </definedNames>
  <calcPr calcId="191029"/>
  <pivotCaches>
    <pivotCache cacheId="2" r:id="rId13"/>
    <pivotCache cacheId="1" r:id="rId14"/>
    <pivotCache cacheId="0" r:id="rId1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<sst xmlns="http://schemas.openxmlformats.org/spreadsheetml/2006/main" count="31325" uniqueCount="3485">
  <si>
    <t>GRESHAM HOUSE UK MULTI CAP</t>
  </si>
  <si>
    <t>3000291</t>
  </si>
  <si>
    <t>000401</t>
  </si>
  <si>
    <t>Confirmed</t>
  </si>
  <si>
    <t>N</t>
  </si>
  <si>
    <t>ARDEN PARTNERS</t>
  </si>
  <si>
    <t>EQ</t>
  </si>
  <si>
    <t>0417008</t>
  </si>
  <si>
    <t>GB0004170089</t>
  </si>
  <si>
    <t>HEADLAM GROUP PLC</t>
  </si>
  <si>
    <t>N/A</t>
  </si>
  <si>
    <t>SELL</t>
  </si>
  <si>
    <t>114600</t>
  </si>
  <si>
    <t>3.938</t>
  </si>
  <si>
    <t>451294.8</t>
  </si>
  <si>
    <t>450391.2104</t>
  </si>
  <si>
    <t>902.5896</t>
  </si>
  <si>
    <t>0</t>
  </si>
  <si>
    <t>1</t>
  </si>
  <si>
    <t>GBP</t>
  </si>
  <si>
    <t>GRESHAM HOUSE UK MICRO CAP</t>
  </si>
  <si>
    <t>3000290</t>
  </si>
  <si>
    <t>000470</t>
  </si>
  <si>
    <t>CENKOS</t>
  </si>
  <si>
    <t>BF0HYJ2</t>
  </si>
  <si>
    <t>GB00BF0HYJ24</t>
  </si>
  <si>
    <t>ARENA EVENTS</t>
  </si>
  <si>
    <t>BUY</t>
  </si>
  <si>
    <t>2887160</t>
  </si>
  <si>
    <t>0.39</t>
  </si>
  <si>
    <t>1125992.4</t>
  </si>
  <si>
    <t>1128245.385</t>
  </si>
  <si>
    <t>2251.9848</t>
  </si>
  <si>
    <t>000402</t>
  </si>
  <si>
    <t>582840</t>
  </si>
  <si>
    <t>227307.6</t>
  </si>
  <si>
    <t>227763.2152</t>
  </si>
  <si>
    <t>454.6152</t>
  </si>
  <si>
    <t>000403</t>
  </si>
  <si>
    <t>B031076</t>
  </si>
  <si>
    <t>GB00B0310763</t>
  </si>
  <si>
    <t>CELLO HEALTH PLC</t>
  </si>
  <si>
    <t>50000</t>
  </si>
  <si>
    <t>1.035</t>
  </si>
  <si>
    <t>51750</t>
  </si>
  <si>
    <t>51854.5</t>
  </si>
  <si>
    <t>103.5</t>
  </si>
  <si>
    <t>Client Name</t>
  </si>
  <si>
    <t>Date</t>
  </si>
  <si>
    <t>Account ID</t>
  </si>
  <si>
    <t>Client Trade Ref No.</t>
  </si>
  <si>
    <t>Confirmed/ Unconfirmed/ Amended</t>
  </si>
  <si>
    <t>Cancelled  Y/N</t>
  </si>
  <si>
    <t>Broker</t>
  </si>
  <si>
    <t>Trade Date DD/MM/YY</t>
  </si>
  <si>
    <t>Trade Execution Time HH:MM:SS (GMT)</t>
  </si>
  <si>
    <t>Settle Date DD/MM/YY</t>
  </si>
  <si>
    <t>Asset Type</t>
  </si>
  <si>
    <t>Security Identifier CUSIP</t>
  </si>
  <si>
    <t>Security Identifier SEDOL</t>
  </si>
  <si>
    <t>Security Identifier ISIN</t>
  </si>
  <si>
    <t>Security Description</t>
  </si>
  <si>
    <t>Factored Bond Y / N</t>
  </si>
  <si>
    <t>Placing Y / N</t>
  </si>
  <si>
    <t>Placing to be booked at cost Y / N</t>
  </si>
  <si>
    <t>Coupon  Rate</t>
  </si>
  <si>
    <t>Issue Date DD/MM/YY</t>
  </si>
  <si>
    <t>Maturity Date DD/MM/YY</t>
  </si>
  <si>
    <t>Transaction Code</t>
  </si>
  <si>
    <t>Quantity / Original Face</t>
  </si>
  <si>
    <t>Current Face</t>
  </si>
  <si>
    <t>Price</t>
  </si>
  <si>
    <t>Net Principal (local)</t>
  </si>
  <si>
    <t>Gross Principal (local)</t>
  </si>
  <si>
    <t>Commission (local)</t>
  </si>
  <si>
    <t>Interest (local)</t>
  </si>
  <si>
    <t>Fees/Trade Expense (local)</t>
  </si>
  <si>
    <t>Trade Currency</t>
  </si>
  <si>
    <t>Settle Currency</t>
  </si>
  <si>
    <t>Net Settle Amount</t>
  </si>
  <si>
    <t>000474</t>
  </si>
  <si>
    <t>SHORE CAPITAL</t>
  </si>
  <si>
    <t>BYT1818</t>
  </si>
  <si>
    <t>GB00BYT18182</t>
  </si>
  <si>
    <t>SYSGROUP PLC</t>
  </si>
  <si>
    <t>Y</t>
  </si>
  <si>
    <t>5620386</t>
  </si>
  <si>
    <t>0.38</t>
  </si>
  <si>
    <t>2135746.68</t>
  </si>
  <si>
    <t>000475</t>
  </si>
  <si>
    <t>PEEL HUNT</t>
  </si>
  <si>
    <t>0536301</t>
  </si>
  <si>
    <t>GB0005363014</t>
  </si>
  <si>
    <t>LOW &amp; BONAR PLC </t>
  </si>
  <si>
    <t>3721235</t>
  </si>
  <si>
    <t>0.15</t>
  </si>
  <si>
    <t>558185.25</t>
  </si>
  <si>
    <t>000406</t>
  </si>
  <si>
    <t>744248</t>
  </si>
  <si>
    <t>111637.2</t>
  </si>
  <si>
    <t>000478</t>
  </si>
  <si>
    <t>000407</t>
  </si>
  <si>
    <t>000483</t>
  </si>
  <si>
    <t>000484</t>
  </si>
  <si>
    <t>DOWGATE</t>
  </si>
  <si>
    <t>GB00BG06MV41</t>
  </si>
  <si>
    <t>GRC INTERNATIONAL GROUP PLC</t>
  </si>
  <si>
    <t>450000</t>
  </si>
  <si>
    <t>000471</t>
  </si>
  <si>
    <t>N+1 SINGER</t>
  </si>
  <si>
    <t>BFYF629</t>
  </si>
  <si>
    <t>GB00BFYF6298</t>
  </si>
  <si>
    <t>KNIGHTS GROUP HOLDINGS PLC</t>
  </si>
  <si>
    <t>25000</t>
  </si>
  <si>
    <t>2.85</t>
  </si>
  <si>
    <t>71250</t>
  </si>
  <si>
    <t>71106.5</t>
  </si>
  <si>
    <t>142.5</t>
  </si>
  <si>
    <t>000472</t>
  </si>
  <si>
    <t>NUMIS</t>
  </si>
  <si>
    <t>660000</t>
  </si>
  <si>
    <t>2.8</t>
  </si>
  <si>
    <t>1848000</t>
  </si>
  <si>
    <t>1844303</t>
  </si>
  <si>
    <t>3696</t>
  </si>
  <si>
    <t>000404</t>
  </si>
  <si>
    <t>CANACCORD</t>
  </si>
  <si>
    <t>B0MT3Y9</t>
  </si>
  <si>
    <t>GB00B0MT3Y97</t>
  </si>
  <si>
    <t>MATTIOLI WOODS PLC</t>
  </si>
  <si>
    <t>18500</t>
  </si>
  <si>
    <t>7.25</t>
  </si>
  <si>
    <t>134125</t>
  </si>
  <si>
    <t>134394.25</t>
  </si>
  <si>
    <t>268.25</t>
  </si>
  <si>
    <t>000405</t>
  </si>
  <si>
    <t>BMTRW10</t>
  </si>
  <si>
    <t>LU1072616219</t>
  </si>
  <si>
    <t>B&amp;M EUROPEAN VALUE RETAIL S.A.</t>
  </si>
  <si>
    <t>159000</t>
  </si>
  <si>
    <t>3.238667</t>
  </si>
  <si>
    <t>514948.053</t>
  </si>
  <si>
    <t>515463.0011</t>
  </si>
  <si>
    <t>514.948053</t>
  </si>
  <si>
    <t>000473</t>
  </si>
  <si>
    <t>B5NR1S7</t>
  </si>
  <si>
    <t>GB00B5NR1S72</t>
  </si>
  <si>
    <t>RESTORE PLC</t>
  </si>
  <si>
    <t>440000</t>
  </si>
  <si>
    <t>3.05</t>
  </si>
  <si>
    <t>1342000</t>
  </si>
  <si>
    <t>1344685</t>
  </si>
  <si>
    <t>2684</t>
  </si>
  <si>
    <t>GRESHAM HOUSE UK SMALLER COMPANIES</t>
  </si>
  <si>
    <t>3000292</t>
  </si>
  <si>
    <t>000001</t>
  </si>
  <si>
    <t>BF16C05</t>
  </si>
  <si>
    <t>GB00BF16C058</t>
  </si>
  <si>
    <t>ALPHA FINANCIAL MARKETS CONSULTING PLC</t>
  </si>
  <si>
    <t>10500</t>
  </si>
  <si>
    <t>2.42</t>
  </si>
  <si>
    <t>25410</t>
  </si>
  <si>
    <t>25461.82</t>
  </si>
  <si>
    <t>50.82</t>
  </si>
  <si>
    <t>000002</t>
  </si>
  <si>
    <t>BDB7J92</t>
  </si>
  <si>
    <t>GB00BDB7J920</t>
  </si>
  <si>
    <t>FILTA GROUP HOLDINGS PLC</t>
  </si>
  <si>
    <t>10800</t>
  </si>
  <si>
    <t>2.31</t>
  </si>
  <si>
    <t>24948</t>
  </si>
  <si>
    <t>24998.896</t>
  </si>
  <si>
    <t>49.896</t>
  </si>
  <si>
    <t>000003</t>
  </si>
  <si>
    <t>0918642</t>
  </si>
  <si>
    <t>GB0009186429</t>
  </si>
  <si>
    <t>FINSBURY FOOD GROUP PLC</t>
  </si>
  <si>
    <t>30100</t>
  </si>
  <si>
    <t>0.83</t>
  </si>
  <si>
    <t>24983</t>
  </si>
  <si>
    <t>25033.966</t>
  </si>
  <si>
    <t>49.966</t>
  </si>
  <si>
    <t>000004</t>
  </si>
  <si>
    <t>FINNCAP</t>
  </si>
  <si>
    <t>0005588</t>
  </si>
  <si>
    <t>GB0000055888</t>
  </si>
  <si>
    <t>DISCOVERIE GROUP PLC</t>
  </si>
  <si>
    <t>6000</t>
  </si>
  <si>
    <t>4.061546</t>
  </si>
  <si>
    <t>24369.276</t>
  </si>
  <si>
    <t>24540.87455</t>
  </si>
  <si>
    <t>48.738552</t>
  </si>
  <si>
    <t>122.85</t>
  </si>
  <si>
    <t>000005</t>
  </si>
  <si>
    <t>0176581</t>
  </si>
  <si>
    <t>GB0001765816</t>
  </si>
  <si>
    <t>BREWIN DOLPHIN HOLDINGS PLC</t>
  </si>
  <si>
    <t>5000</t>
  </si>
  <si>
    <t>3.004</t>
  </si>
  <si>
    <t>15020</t>
  </si>
  <si>
    <t>15126.29</t>
  </si>
  <si>
    <t>30.04</t>
  </si>
  <si>
    <t>76.25</t>
  </si>
  <si>
    <t>000006</t>
  </si>
  <si>
    <t>BMMV6B7</t>
  </si>
  <si>
    <t>GB00BMMV6B79</t>
  </si>
  <si>
    <t>CLIPPER LOGISTICS PLC</t>
  </si>
  <si>
    <t>8600</t>
  </si>
  <si>
    <t>2.32</t>
  </si>
  <si>
    <t>19952</t>
  </si>
  <si>
    <t>20092.864</t>
  </si>
  <si>
    <t>39.904</t>
  </si>
  <si>
    <t>100.96</t>
  </si>
  <si>
    <t>000007</t>
  </si>
  <si>
    <t>BYYJL41</t>
  </si>
  <si>
    <t>GB00BYYJL418</t>
  </si>
  <si>
    <t>NORCROS PLC</t>
  </si>
  <si>
    <t>1.945</t>
  </si>
  <si>
    <t>20422.5</t>
  </si>
  <si>
    <t>20566.665</t>
  </si>
  <si>
    <t>40.845</t>
  </si>
  <si>
    <t>103.32</t>
  </si>
  <si>
    <t>000008</t>
  </si>
  <si>
    <t>BF020D3</t>
  </si>
  <si>
    <t>GB00BF020D33</t>
  </si>
  <si>
    <t>TEN ENTERTAINMENT GROUP PLC</t>
  </si>
  <si>
    <t>10400</t>
  </si>
  <si>
    <t>24128</t>
  </si>
  <si>
    <t>24298.136</t>
  </si>
  <si>
    <t>48.256</t>
  </si>
  <si>
    <t>121.88</t>
  </si>
  <si>
    <t>000009</t>
  </si>
  <si>
    <t>B286382</t>
  </si>
  <si>
    <t>GB00B2863827</t>
  </si>
  <si>
    <t>CVS GROUP PLC</t>
  </si>
  <si>
    <t>4500</t>
  </si>
  <si>
    <t>4.42</t>
  </si>
  <si>
    <t>19890</t>
  </si>
  <si>
    <t>19930.78</t>
  </si>
  <si>
    <t>39.78</t>
  </si>
  <si>
    <t>000010</t>
  </si>
  <si>
    <t>0638939</t>
  </si>
  <si>
    <t>GB0006389398</t>
  </si>
  <si>
    <t>NICHOLS PLC</t>
  </si>
  <si>
    <t>1350</t>
  </si>
  <si>
    <t>14.85</t>
  </si>
  <si>
    <t>20047.5</t>
  </si>
  <si>
    <t>20088.595</t>
  </si>
  <si>
    <t>40.095</t>
  </si>
  <si>
    <t>000011</t>
  </si>
  <si>
    <t>B64NSP7</t>
  </si>
  <si>
    <t>GB00B64NSP76</t>
  </si>
  <si>
    <t>COSTAIN GROUP PLC</t>
  </si>
  <si>
    <t>6900</t>
  </si>
  <si>
    <t>3.6625</t>
  </si>
  <si>
    <t>25271.25</t>
  </si>
  <si>
    <t>25449.4025</t>
  </si>
  <si>
    <t>50.5425</t>
  </si>
  <si>
    <t>127.61</t>
  </si>
  <si>
    <t>000012</t>
  </si>
  <si>
    <t>0687061</t>
  </si>
  <si>
    <t>GB0006870611</t>
  </si>
  <si>
    <t>GB GROUP PLC</t>
  </si>
  <si>
    <t>3200</t>
  </si>
  <si>
    <t>4.726848</t>
  </si>
  <si>
    <t>15125.9136</t>
  </si>
  <si>
    <t>15157.15543</t>
  </si>
  <si>
    <t>30.2518272</t>
  </si>
  <si>
    <t>000013</t>
  </si>
  <si>
    <t>BVRZ8S8</t>
  </si>
  <si>
    <t>JE00BVRZ8S85</t>
  </si>
  <si>
    <t>SANNE GROUP PLC</t>
  </si>
  <si>
    <t>1383</t>
  </si>
  <si>
    <t>5.09</t>
  </si>
  <si>
    <t>7039.47</t>
  </si>
  <si>
    <t>7053.54894</t>
  </si>
  <si>
    <t>14.07894</t>
  </si>
  <si>
    <t>000014</t>
  </si>
  <si>
    <t>BYN5913</t>
  </si>
  <si>
    <t>GB00BYN59130</t>
  </si>
  <si>
    <t>DOMINO'S PIZZA GROUP PLC</t>
  </si>
  <si>
    <t>8000</t>
  </si>
  <si>
    <t>2.467</t>
  </si>
  <si>
    <t>19736</t>
  </si>
  <si>
    <t>19875.152</t>
  </si>
  <si>
    <t>39.472</t>
  </si>
  <si>
    <t>99.68</t>
  </si>
  <si>
    <t>000015</t>
  </si>
  <si>
    <t>BN7ZCY6</t>
  </si>
  <si>
    <t>GB00BN7ZCY67</t>
  </si>
  <si>
    <t>ERGOMED PLC</t>
  </si>
  <si>
    <t>13500</t>
  </si>
  <si>
    <t>1.86</t>
  </si>
  <si>
    <t>25110</t>
  </si>
  <si>
    <t>25161.22</t>
  </si>
  <si>
    <t>50.22</t>
  </si>
  <si>
    <t>000016</t>
  </si>
  <si>
    <t>0879471</t>
  </si>
  <si>
    <t>GB0008794710</t>
  </si>
  <si>
    <t>TELECOM PLUS PLC</t>
  </si>
  <si>
    <t>1100</t>
  </si>
  <si>
    <t>13.9</t>
  </si>
  <si>
    <t>15290</t>
  </si>
  <si>
    <t>15398.18</t>
  </si>
  <si>
    <t>30.58</t>
  </si>
  <si>
    <t>77.6</t>
  </si>
  <si>
    <t>000017</t>
  </si>
  <si>
    <t>BD6RF22</t>
  </si>
  <si>
    <t>GB00BD6RF223</t>
  </si>
  <si>
    <t>WATKIN JONES PLC</t>
  </si>
  <si>
    <t>629</t>
  </si>
  <si>
    <t>1452.99</t>
  </si>
  <si>
    <t>1455.89598</t>
  </si>
  <si>
    <t>2.90598</t>
  </si>
  <si>
    <t>000018</t>
  </si>
  <si>
    <t>ZEUS CAPITAL</t>
  </si>
  <si>
    <t>BDDN1T2</t>
  </si>
  <si>
    <t>GB00BDDN1T20</t>
  </si>
  <si>
    <t>XPS PENSIONS GROUP PLC</t>
  </si>
  <si>
    <t>10000</t>
  </si>
  <si>
    <t>1.35</t>
  </si>
  <si>
    <t>13595.5</t>
  </si>
  <si>
    <t>27</t>
  </si>
  <si>
    <t>68.5</t>
  </si>
  <si>
    <t>000019</t>
  </si>
  <si>
    <t>LIBERUM</t>
  </si>
  <si>
    <t>0737007</t>
  </si>
  <si>
    <t>GB0007370074</t>
  </si>
  <si>
    <t>RICARDO PLC</t>
  </si>
  <si>
    <t>3300</t>
  </si>
  <si>
    <t>6.15</t>
  </si>
  <si>
    <t>20295</t>
  </si>
  <si>
    <t>20438.27</t>
  </si>
  <si>
    <t>40.59</t>
  </si>
  <si>
    <t>102.68</t>
  </si>
  <si>
    <t>000020</t>
  </si>
  <si>
    <t>0664097</t>
  </si>
  <si>
    <t>GB0006640972</t>
  </si>
  <si>
    <t>4IMPRINT GROUP PLC</t>
  </si>
  <si>
    <t>1300</t>
  </si>
  <si>
    <t>19.25</t>
  </si>
  <si>
    <t>25025</t>
  </si>
  <si>
    <t>25201.43</t>
  </si>
  <si>
    <t>50.05</t>
  </si>
  <si>
    <t>126.38</t>
  </si>
  <si>
    <t>000021</t>
  </si>
  <si>
    <t>11200</t>
  </si>
  <si>
    <t>2.75</t>
  </si>
  <si>
    <t>30800</t>
  </si>
  <si>
    <t>30862.6</t>
  </si>
  <si>
    <t>61.6</t>
  </si>
  <si>
    <t>000022</t>
  </si>
  <si>
    <t>3617</t>
  </si>
  <si>
    <t>5.1</t>
  </si>
  <si>
    <t>18446.7</t>
  </si>
  <si>
    <t>18484.5934</t>
  </si>
  <si>
    <t>36.8934</t>
  </si>
  <si>
    <t>000023</t>
  </si>
  <si>
    <t xml:space="preserve"> B3DG931</t>
  </si>
  <si>
    <t>JE00B3DG9318</t>
  </si>
  <si>
    <t>TARSUS GROUP PLC</t>
  </si>
  <si>
    <t>2.67</t>
  </si>
  <si>
    <t>28035</t>
  </si>
  <si>
    <t>28092.07</t>
  </si>
  <si>
    <t>56.07</t>
  </si>
  <si>
    <t>000024</t>
  </si>
  <si>
    <t>B29H425</t>
  </si>
  <si>
    <t>GB00B29H4253</t>
  </si>
  <si>
    <t>TYMAN PLC</t>
  </si>
  <si>
    <t>8200</t>
  </si>
  <si>
    <t>2.44</t>
  </si>
  <si>
    <t>20008</t>
  </si>
  <si>
    <t>20149.256</t>
  </si>
  <si>
    <t>40.016</t>
  </si>
  <si>
    <t>101.24</t>
  </si>
  <si>
    <t>000025</t>
  </si>
  <si>
    <t>4700</t>
  </si>
  <si>
    <t>7.45</t>
  </si>
  <si>
    <t>35015</t>
  </si>
  <si>
    <t>35086.03</t>
  </si>
  <si>
    <t>70.03</t>
  </si>
  <si>
    <t>000026</t>
  </si>
  <si>
    <t>0929666</t>
  </si>
  <si>
    <t>GB0009296665</t>
  </si>
  <si>
    <t>VITEC GROUP PLC (THE) </t>
  </si>
  <si>
    <t>11.4</t>
  </si>
  <si>
    <t>15390</t>
  </si>
  <si>
    <t>15498.88</t>
  </si>
  <si>
    <t>30.78</t>
  </si>
  <si>
    <t>78.1</t>
  </si>
  <si>
    <t>000027</t>
  </si>
  <si>
    <t>0371847</t>
  </si>
  <si>
    <t>GB0003718474</t>
  </si>
  <si>
    <t>GAMES WORKSHOP GROUP PLC </t>
  </si>
  <si>
    <t>700</t>
  </si>
  <si>
    <t>31.798</t>
  </si>
  <si>
    <t>22258.6</t>
  </si>
  <si>
    <t>22415.6372</t>
  </si>
  <si>
    <t>44.5172</t>
  </si>
  <si>
    <t>112.52</t>
  </si>
  <si>
    <t>000028</t>
  </si>
  <si>
    <t>B5TZC71</t>
  </si>
  <si>
    <t>GB00B5TZC716</t>
  </si>
  <si>
    <t>INSPIRED ENERGY PLC</t>
  </si>
  <si>
    <t>165000</t>
  </si>
  <si>
    <t>0.1815</t>
  </si>
  <si>
    <t>29947.5</t>
  </si>
  <si>
    <t>30008.395</t>
  </si>
  <si>
    <t>59.895</t>
  </si>
  <si>
    <t>000029</t>
  </si>
  <si>
    <t>BYMK425</t>
  </si>
  <si>
    <t>GG00BYMK4250</t>
  </si>
  <si>
    <t>SAFECHARGE INTERNATIONAL GROUP</t>
  </si>
  <si>
    <t>2.7</t>
  </si>
  <si>
    <t>23220</t>
  </si>
  <si>
    <t>23267.44</t>
  </si>
  <si>
    <t>46.44</t>
  </si>
  <si>
    <t>000030</t>
  </si>
  <si>
    <t>BF0FMG9</t>
  </si>
  <si>
    <t>IM00BF0FMG91</t>
  </si>
  <si>
    <t>STRIX GROUP PLC</t>
  </si>
  <si>
    <t>16200</t>
  </si>
  <si>
    <t>1.57</t>
  </si>
  <si>
    <t>25434</t>
  </si>
  <si>
    <t>25485.868</t>
  </si>
  <si>
    <t>50.868</t>
  </si>
  <si>
    <t>000031</t>
  </si>
  <si>
    <t>490526</t>
  </si>
  <si>
    <t>GB0004905260</t>
  </si>
  <si>
    <t> IMPAX ASSET MANAGEMENT GROUP PLC</t>
  </si>
  <si>
    <t>11600</t>
  </si>
  <si>
    <t>2.19</t>
  </si>
  <si>
    <t>25404</t>
  </si>
  <si>
    <t>25455.808</t>
  </si>
  <si>
    <t>50.808</t>
  </si>
  <si>
    <t>000476</t>
  </si>
  <si>
    <t>RESTORE PLC </t>
  </si>
  <si>
    <t>1059</t>
  </si>
  <si>
    <t>3.044326</t>
  </si>
  <si>
    <t>3223.941234</t>
  </si>
  <si>
    <t>3231.389116</t>
  </si>
  <si>
    <t>6.447882468</t>
  </si>
  <si>
    <t>000032</t>
  </si>
  <si>
    <t xml:space="preserve"> BD6RF22</t>
  </si>
  <si>
    <t>WATKIN JONES PLC ORD</t>
  </si>
  <si>
    <t>2019</t>
  </si>
  <si>
    <t>4663.89</t>
  </si>
  <si>
    <t>4673.21778</t>
  </si>
  <si>
    <t>9.32778</t>
  </si>
  <si>
    <t>000033</t>
  </si>
  <si>
    <t>3002605</t>
  </si>
  <si>
    <t>GB0030026057</t>
  </si>
  <si>
    <t>NEXT FIFTEEN COMMUNICATIONS GROUP PLC</t>
  </si>
  <si>
    <t>4900</t>
  </si>
  <si>
    <t>5.34</t>
  </si>
  <si>
    <t>26166</t>
  </si>
  <si>
    <t>26219.332</t>
  </si>
  <si>
    <t>52.332</t>
  </si>
  <si>
    <t>000034</t>
  </si>
  <si>
    <t>0452690</t>
  </si>
  <si>
    <t>GB0004526900</t>
  </si>
  <si>
    <t>IG DESIGN GROUP PLC</t>
  </si>
  <si>
    <t>5.73</t>
  </si>
  <si>
    <t>25785</t>
  </si>
  <si>
    <t>25837.57</t>
  </si>
  <si>
    <t>51.57</t>
  </si>
  <si>
    <t>000035</t>
  </si>
  <si>
    <t>BQSBH50</t>
  </si>
  <si>
    <t>GB00BQSBH502</t>
  </si>
  <si>
    <t>MORTGAGE ADVICE BUREAU (HOLDINGS) PLC</t>
  </si>
  <si>
    <t>3400</t>
  </si>
  <si>
    <t>5.87</t>
  </si>
  <si>
    <t>19958</t>
  </si>
  <si>
    <t>19998.916</t>
  </si>
  <si>
    <t>39.916</t>
  </si>
  <si>
    <t>000036</t>
  </si>
  <si>
    <t>XPS PENSIONS GROUP PLC </t>
  </si>
  <si>
    <t>16300</t>
  </si>
  <si>
    <t>1.4</t>
  </si>
  <si>
    <t>22820</t>
  </si>
  <si>
    <t>22980.74</t>
  </si>
  <si>
    <t>45.64</t>
  </si>
  <si>
    <t>115.1</t>
  </si>
  <si>
    <t>000037</t>
  </si>
  <si>
    <t>23941</t>
  </si>
  <si>
    <t>72884.20877</t>
  </si>
  <si>
    <t>73030.97718</t>
  </si>
  <si>
    <t>145.7684175</t>
  </si>
  <si>
    <t>000477</t>
  </si>
  <si>
    <t>105341</t>
  </si>
  <si>
    <t>321290.05</t>
  </si>
  <si>
    <t>321933.6301</t>
  </si>
  <si>
    <t>642.5801</t>
  </si>
  <si>
    <t>3230.389116</t>
  </si>
  <si>
    <t>000479</t>
  </si>
  <si>
    <t>000038</t>
  </si>
  <si>
    <t>4659</t>
  </si>
  <si>
    <t>14209.95</t>
  </si>
  <si>
    <t>14239.3699</t>
  </si>
  <si>
    <t>28.4199</t>
  </si>
  <si>
    <t>000039</t>
  </si>
  <si>
    <t>8052</t>
  </si>
  <si>
    <t>18600.12</t>
  </si>
  <si>
    <t>18638.32024</t>
  </si>
  <si>
    <t>37.20024</t>
  </si>
  <si>
    <t>73029.97718</t>
  </si>
  <si>
    <t>000040</t>
  </si>
  <si>
    <t>000480</t>
  </si>
  <si>
    <t>BLBP4Y2</t>
  </si>
  <si>
    <t>GB00BLBP4Y22</t>
  </si>
  <si>
    <t>IMIMOBILE PLC</t>
  </si>
  <si>
    <t>750000</t>
  </si>
  <si>
    <t>2.2</t>
  </si>
  <si>
    <t>1650000</t>
  </si>
  <si>
    <t>1653301</t>
  </si>
  <si>
    <t>000481</t>
  </si>
  <si>
    <t>47882</t>
  </si>
  <si>
    <t>2.99</t>
  </si>
  <si>
    <t>143167.18</t>
  </si>
  <si>
    <t>143454.5144</t>
  </si>
  <si>
    <t>286.33436</t>
  </si>
  <si>
    <t>000041</t>
  </si>
  <si>
    <t>2118</t>
  </si>
  <si>
    <t>6332.82</t>
  </si>
  <si>
    <t>6345.48564</t>
  </si>
  <si>
    <t>12.66564</t>
  </si>
  <si>
    <t>000482</t>
  </si>
  <si>
    <t>82836</t>
  </si>
  <si>
    <t>2.975</t>
  </si>
  <si>
    <t>246437.1</t>
  </si>
  <si>
    <t>246930.9842</t>
  </si>
  <si>
    <t>492.8842</t>
  </si>
  <si>
    <t>000042</t>
  </si>
  <si>
    <t>3664</t>
  </si>
  <si>
    <t>10900.4</t>
  </si>
  <si>
    <t>10923.2008</t>
  </si>
  <si>
    <t>21.8008</t>
  </si>
  <si>
    <t>000485</t>
  </si>
  <si>
    <t>B0T1S09</t>
  </si>
  <si>
    <t>GB00B0T1S097</t>
  </si>
  <si>
    <t>NASSTAR PLC</t>
  </si>
  <si>
    <t>300000</t>
  </si>
  <si>
    <t>0.117</t>
  </si>
  <si>
    <t>35100</t>
  </si>
  <si>
    <t>35028.8</t>
  </si>
  <si>
    <t>70.2</t>
  </si>
  <si>
    <t>000408</t>
  </si>
  <si>
    <t>STOCKDALE</t>
  </si>
  <si>
    <t>11399</t>
  </si>
  <si>
    <t>1.07</t>
  </si>
  <si>
    <t>12196.93</t>
  </si>
  <si>
    <t>12222.32386</t>
  </si>
  <si>
    <t>24.39386</t>
  </si>
  <si>
    <t>000409</t>
  </si>
  <si>
    <t>BYZSSY6</t>
  </si>
  <si>
    <t>GG00BYZSSY63</t>
  </si>
  <si>
    <t>DUKE ROYALTY LIMITED</t>
  </si>
  <si>
    <t>325000</t>
  </si>
  <si>
    <t>0.4</t>
  </si>
  <si>
    <t>130000</t>
  </si>
  <si>
    <t>130261</t>
  </si>
  <si>
    <t>260</t>
  </si>
  <si>
    <t>000043</t>
  </si>
  <si>
    <t>321</t>
  </si>
  <si>
    <t>343.47</t>
  </si>
  <si>
    <t>344.15694</t>
  </si>
  <si>
    <t>0.68694</t>
  </si>
  <si>
    <t>000486</t>
  </si>
  <si>
    <t>BG06MV4</t>
  </si>
  <si>
    <t>000487</t>
  </si>
  <si>
    <t>1050000</t>
  </si>
  <si>
    <t>122850</t>
  </si>
  <si>
    <t>122603.3</t>
  </si>
  <si>
    <t>245.7</t>
  </si>
  <si>
    <t>000488</t>
  </si>
  <si>
    <t>LOW &amp; BONAR PLC</t>
  </si>
  <si>
    <t>416667</t>
  </si>
  <si>
    <t>0.1725</t>
  </si>
  <si>
    <t>71875.0575</t>
  </si>
  <si>
    <t>71730.30738</t>
  </si>
  <si>
    <t>143.750115</t>
  </si>
  <si>
    <t>000410</t>
  </si>
  <si>
    <t>83333</t>
  </si>
  <si>
    <t>14374.9425</t>
  </si>
  <si>
    <t>14345.19262</t>
  </si>
  <si>
    <t>28.749885</t>
  </si>
  <si>
    <t>000489</t>
  </si>
  <si>
    <t>BDHLGB9</t>
  </si>
  <si>
    <t>GB00BDHLGB97</t>
  </si>
  <si>
    <t>TAX SYSTEMS PLC</t>
  </si>
  <si>
    <t>2538373</t>
  </si>
  <si>
    <t>1.09375</t>
  </si>
  <si>
    <t>2776345.469</t>
  </si>
  <si>
    <t>2770791.778</t>
  </si>
  <si>
    <t>5552.690938</t>
  </si>
  <si>
    <t>000044</t>
  </si>
  <si>
    <t>B040L80</t>
  </si>
  <si>
    <t>GB00B040L800</t>
  </si>
  <si>
    <t>STAFFLINE GROUP PLC</t>
  </si>
  <si>
    <t>1000</t>
  </si>
  <si>
    <t>8.85</t>
  </si>
  <si>
    <t>8850</t>
  </si>
  <si>
    <t>8867.7</t>
  </si>
  <si>
    <t>17.7</t>
  </si>
  <si>
    <t>000045</t>
  </si>
  <si>
    <t>8.75</t>
  </si>
  <si>
    <t>8750</t>
  </si>
  <si>
    <t>8767.5</t>
  </si>
  <si>
    <t>17.5</t>
  </si>
  <si>
    <t>000046</t>
  </si>
  <si>
    <t>800</t>
  </si>
  <si>
    <t>7000</t>
  </si>
  <si>
    <t>7014</t>
  </si>
  <si>
    <t>14</t>
  </si>
  <si>
    <t>000490</t>
  </si>
  <si>
    <t>293970</t>
  </si>
  <si>
    <t>0.178252</t>
  </si>
  <si>
    <t>52400.74044</t>
  </si>
  <si>
    <t>52294.93896</t>
  </si>
  <si>
    <t>104.8014809</t>
  </si>
  <si>
    <t>000491</t>
  </si>
  <si>
    <t>GB00BJQTGV64</t>
  </si>
  <si>
    <t>DIACEUTICS PLC</t>
  </si>
  <si>
    <t>1947500</t>
  </si>
  <si>
    <t>0.76</t>
  </si>
  <si>
    <t>1480100</t>
  </si>
  <si>
    <t>000411</t>
  </si>
  <si>
    <t>58794</t>
  </si>
  <si>
    <t>10480.14809</t>
  </si>
  <si>
    <t>10458.18779</t>
  </si>
  <si>
    <t>20.96029618</t>
  </si>
  <si>
    <t>000412</t>
  </si>
  <si>
    <t>WINTERFLOOD</t>
  </si>
  <si>
    <t>219000</t>
  </si>
  <si>
    <t>2.5212588</t>
  </si>
  <si>
    <t>552155.6772</t>
  </si>
  <si>
    <t>551050.3658</t>
  </si>
  <si>
    <t>1104.311354</t>
  </si>
  <si>
    <t>000047</t>
  </si>
  <si>
    <t>20674.32216</t>
  </si>
  <si>
    <t>20631.97352</t>
  </si>
  <si>
    <t>41.34864432</t>
  </si>
  <si>
    <t>000492</t>
  </si>
  <si>
    <t>2700000</t>
  </si>
  <si>
    <t>315900</t>
  </si>
  <si>
    <t>315267.2</t>
  </si>
  <si>
    <t>631.8</t>
  </si>
  <si>
    <t>000413</t>
  </si>
  <si>
    <t>ARENA EVENTS GROUP PLC</t>
  </si>
  <si>
    <t>712000</t>
  </si>
  <si>
    <t>0.32</t>
  </si>
  <si>
    <t>227840</t>
  </si>
  <si>
    <t>228296.68</t>
  </si>
  <si>
    <t>455.68</t>
  </si>
  <si>
    <t>000414</t>
  </si>
  <si>
    <t>45000</t>
  </si>
  <si>
    <t>8.82</t>
  </si>
  <si>
    <t>396900</t>
  </si>
  <si>
    <t>397694.8</t>
  </si>
  <si>
    <t>793.8</t>
  </si>
  <si>
    <t>000493</t>
  </si>
  <si>
    <t>BJQTGV6</t>
  </si>
  <si>
    <t>000415</t>
  </si>
  <si>
    <t>BYWVDP4</t>
  </si>
  <si>
    <t>GB00BYWVDP49</t>
  </si>
  <si>
    <t>SABRE INSURANCE GROUP PLC</t>
  </si>
  <si>
    <t>5500</t>
  </si>
  <si>
    <t>2.87</t>
  </si>
  <si>
    <t>15785</t>
  </si>
  <si>
    <t>15896.65</t>
  </si>
  <si>
    <t>31.57</t>
  </si>
  <si>
    <t>80.08</t>
  </si>
  <si>
    <t>000416</t>
  </si>
  <si>
    <t>2.897</t>
  </si>
  <si>
    <t>72425</t>
  </si>
  <si>
    <t>72933.7</t>
  </si>
  <si>
    <t>144.85</t>
  </si>
  <si>
    <t>363.85</t>
  </si>
  <si>
    <t>000048</t>
  </si>
  <si>
    <t>480</t>
  </si>
  <si>
    <t>5.52</t>
  </si>
  <si>
    <t>2649.6</t>
  </si>
  <si>
    <t>2654.8992</t>
  </si>
  <si>
    <t>5.2992</t>
  </si>
  <si>
    <t>000049</t>
  </si>
  <si>
    <t>1150</t>
  </si>
  <si>
    <t>3.302</t>
  </si>
  <si>
    <t>3797.3</t>
  </si>
  <si>
    <t>3823.9146</t>
  </si>
  <si>
    <t>7.5946</t>
  </si>
  <si>
    <t>19.02</t>
  </si>
  <si>
    <t>000050</t>
  </si>
  <si>
    <t>400</t>
  </si>
  <si>
    <t>5.0035</t>
  </si>
  <si>
    <t>2001.4</t>
  </si>
  <si>
    <t>2005.4028</t>
  </si>
  <si>
    <t>4.0028</t>
  </si>
  <si>
    <t>000051</t>
  </si>
  <si>
    <t>GAMES WORKSHOP GROUP PLC</t>
  </si>
  <si>
    <t>160</t>
  </si>
  <si>
    <t>30.15</t>
  </si>
  <si>
    <t>4824</t>
  </si>
  <si>
    <t>4857.818</t>
  </si>
  <si>
    <t>9.648</t>
  </si>
  <si>
    <t>24.17</t>
  </si>
  <si>
    <t>000052</t>
  </si>
  <si>
    <t>1500</t>
  </si>
  <si>
    <t>4.839887</t>
  </si>
  <si>
    <t>7259.8305</t>
  </si>
  <si>
    <t>7274.350161</t>
  </si>
  <si>
    <t>14.519661</t>
  </si>
  <si>
    <t>000053</t>
  </si>
  <si>
    <t>0490526</t>
  </si>
  <si>
    <t>IMPAX ASSET MANAGEMENT GROUP PLC</t>
  </si>
  <si>
    <t>2000</t>
  </si>
  <si>
    <t>2.27</t>
  </si>
  <si>
    <t>4540</t>
  </si>
  <si>
    <t>4549.08</t>
  </si>
  <si>
    <t>9.08</t>
  </si>
  <si>
    <t>000054</t>
  </si>
  <si>
    <t>600</t>
  </si>
  <si>
    <t>14.77</t>
  </si>
  <si>
    <t>8862</t>
  </si>
  <si>
    <t>8924.124</t>
  </si>
  <si>
    <t>17.724</t>
  </si>
  <si>
    <t>44.4</t>
  </si>
  <si>
    <t>000055</t>
  </si>
  <si>
    <t>2150</t>
  </si>
  <si>
    <t>3010</t>
  </si>
  <si>
    <t>3031.1</t>
  </si>
  <si>
    <t>6.02</t>
  </si>
  <si>
    <t>15.08</t>
  </si>
  <si>
    <t>000056</t>
  </si>
  <si>
    <t>2.368</t>
  </si>
  <si>
    <t>4736</t>
  </si>
  <si>
    <t>4769.202</t>
  </si>
  <si>
    <t>9.472</t>
  </si>
  <si>
    <t>23.73</t>
  </si>
  <si>
    <t>000057</t>
  </si>
  <si>
    <t>850</t>
  </si>
  <si>
    <t>5.55</t>
  </si>
  <si>
    <t>4717.5</t>
  </si>
  <si>
    <t>4726.935</t>
  </si>
  <si>
    <t>9.435</t>
  </si>
  <si>
    <t>000058</t>
  </si>
  <si>
    <t>2100</t>
  </si>
  <si>
    <t>4620</t>
  </si>
  <si>
    <t>4652.39</t>
  </si>
  <si>
    <t>9.24</t>
  </si>
  <si>
    <t>23.15</t>
  </si>
  <si>
    <t>000059</t>
  </si>
  <si>
    <t>6200</t>
  </si>
  <si>
    <t>2.35</t>
  </si>
  <si>
    <t>14570</t>
  </si>
  <si>
    <t>14600.14</t>
  </si>
  <si>
    <t>29.14</t>
  </si>
  <si>
    <t>1800</t>
  </si>
  <si>
    <t>1.9275</t>
  </si>
  <si>
    <t>3469.5</t>
  </si>
  <si>
    <t>3462.561</t>
  </si>
  <si>
    <t>6.939</t>
  </si>
  <si>
    <t>000060</t>
  </si>
  <si>
    <t>1700</t>
  </si>
  <si>
    <t>1.665</t>
  </si>
  <si>
    <t>2830.5</t>
  </si>
  <si>
    <t>2824.839</t>
  </si>
  <si>
    <t>5.661</t>
  </si>
  <si>
    <t>000061</t>
  </si>
  <si>
    <t>230</t>
  </si>
  <si>
    <t>15.975</t>
  </si>
  <si>
    <t>3674.25</t>
  </si>
  <si>
    <t>3666.9015</t>
  </si>
  <si>
    <t>7.3485</t>
  </si>
  <si>
    <t>000062</t>
  </si>
  <si>
    <t>2.56</t>
  </si>
  <si>
    <t>2048</t>
  </si>
  <si>
    <t>2043.904</t>
  </si>
  <si>
    <t>4.096</t>
  </si>
  <si>
    <t>000063</t>
  </si>
  <si>
    <t>SAFECHARGE INTERNATIONAL GROUP LIMITED</t>
  </si>
  <si>
    <t>900</t>
  </si>
  <si>
    <t>2.9</t>
  </si>
  <si>
    <t>2610</t>
  </si>
  <si>
    <t>2604.78</t>
  </si>
  <si>
    <t>5.22</t>
  </si>
  <si>
    <t>000064</t>
  </si>
  <si>
    <t>INVESTEC</t>
  </si>
  <si>
    <t>750</t>
  </si>
  <si>
    <t>6.96</t>
  </si>
  <si>
    <t>5220</t>
  </si>
  <si>
    <t>5209.56</t>
  </si>
  <si>
    <t>10.44</t>
  </si>
  <si>
    <t>000065</t>
  </si>
  <si>
    <t>5.17</t>
  </si>
  <si>
    <t>10857</t>
  </si>
  <si>
    <t>10834.286</t>
  </si>
  <si>
    <t>21.714</t>
  </si>
  <si>
    <t>000066</t>
  </si>
  <si>
    <t>200</t>
  </si>
  <si>
    <t>23.9</t>
  </si>
  <si>
    <t>4780</t>
  </si>
  <si>
    <t>4770.44</t>
  </si>
  <si>
    <t>9.56</t>
  </si>
  <si>
    <t>000067</t>
  </si>
  <si>
    <t>2300</t>
  </si>
  <si>
    <t>4.02</t>
  </si>
  <si>
    <t>9246</t>
  </si>
  <si>
    <t>9227.508</t>
  </si>
  <si>
    <t>18.492</t>
  </si>
  <si>
    <t>000068</t>
  </si>
  <si>
    <t>7.65</t>
  </si>
  <si>
    <t>6120</t>
  </si>
  <si>
    <t>6107.76</t>
  </si>
  <si>
    <t>12.24</t>
  </si>
  <si>
    <t>000417</t>
  </si>
  <si>
    <t>21253</t>
  </si>
  <si>
    <t>61633.7</t>
  </si>
  <si>
    <t>62066.7474</t>
  </si>
  <si>
    <t>123.2674</t>
  </si>
  <si>
    <t>309.78</t>
  </si>
  <si>
    <t>000418</t>
  </si>
  <si>
    <t>3000</t>
  </si>
  <si>
    <t>8700</t>
  </si>
  <si>
    <t>8760.99</t>
  </si>
  <si>
    <t>17.4</t>
  </si>
  <si>
    <t>43.59</t>
  </si>
  <si>
    <t>000069</t>
  </si>
  <si>
    <t>B3DG931</t>
  </si>
  <si>
    <t>3.015</t>
  </si>
  <si>
    <t>6030</t>
  </si>
  <si>
    <t>6017.94</t>
  </si>
  <si>
    <t>12.06</t>
  </si>
  <si>
    <t>000070</t>
  </si>
  <si>
    <t>2700</t>
  </si>
  <si>
    <t>3.075</t>
  </si>
  <si>
    <t>8302.5</t>
  </si>
  <si>
    <t>8319.105</t>
  </si>
  <si>
    <t>16.605</t>
  </si>
  <si>
    <t>000071</t>
  </si>
  <si>
    <t>3</t>
  </si>
  <si>
    <t>9000</t>
  </si>
  <si>
    <t>9018</t>
  </si>
  <si>
    <t>18</t>
  </si>
  <si>
    <t>000072</t>
  </si>
  <si>
    <t>680</t>
  </si>
  <si>
    <t>3.49</t>
  </si>
  <si>
    <t>2373.2</t>
  </si>
  <si>
    <t>2389.8364</t>
  </si>
  <si>
    <t>4.7464</t>
  </si>
  <si>
    <t>11.89</t>
  </si>
  <si>
    <t>000494</t>
  </si>
  <si>
    <t>185000</t>
  </si>
  <si>
    <t>0.178671</t>
  </si>
  <si>
    <t>33054.135</t>
  </si>
  <si>
    <t>32987.02673</t>
  </si>
  <si>
    <t>66.10827</t>
  </si>
  <si>
    <t>000419</t>
  </si>
  <si>
    <t>37000</t>
  </si>
  <si>
    <t>6610.827</t>
  </si>
  <si>
    <t>6597.605346</t>
  </si>
  <si>
    <t>13.221654</t>
  </si>
  <si>
    <t>000420</t>
  </si>
  <si>
    <t>5439</t>
  </si>
  <si>
    <t>15773.1</t>
  </si>
  <si>
    <t>15884.6662</t>
  </si>
  <si>
    <t>31.5462</t>
  </si>
  <si>
    <t>80.02</t>
  </si>
  <si>
    <t>000421</t>
  </si>
  <si>
    <t>44747</t>
  </si>
  <si>
    <t>2.899724</t>
  </si>
  <si>
    <t>129753.9498</t>
  </si>
  <si>
    <t>130664.5277</t>
  </si>
  <si>
    <t>259.5078997</t>
  </si>
  <si>
    <t>651.07</t>
  </si>
  <si>
    <t>000495</t>
  </si>
  <si>
    <t>CANTOR FITZGERALD</t>
  </si>
  <si>
    <t>BFZZM64</t>
  </si>
  <si>
    <t>GB00BFZZM640</t>
  </si>
  <si>
    <t>S4 CAPITAL PLC</t>
  </si>
  <si>
    <t>830000</t>
  </si>
  <si>
    <t>1.28</t>
  </si>
  <si>
    <t>1062400</t>
  </si>
  <si>
    <t>1060274.2</t>
  </si>
  <si>
    <t>2124.8</t>
  </si>
  <si>
    <t>000496</t>
  </si>
  <si>
    <t>0188371</t>
  </si>
  <si>
    <t>GB0001883718</t>
  </si>
  <si>
    <t>CHARLES TAYLOR PLC</t>
  </si>
  <si>
    <t>296000</t>
  </si>
  <si>
    <t>570540</t>
  </si>
  <si>
    <t>574540.49</t>
  </si>
  <si>
    <t>1141.08</t>
  </si>
  <si>
    <t>2859.41</t>
  </si>
  <si>
    <t>000497</t>
  </si>
  <si>
    <t>CANACCORD GENUITY</t>
  </si>
  <si>
    <t>GB00BFWYSS80</t>
  </si>
  <si>
    <t>BONHILL GROUP PLC</t>
  </si>
  <si>
    <t>1190476</t>
  </si>
  <si>
    <t>0.84</t>
  </si>
  <si>
    <t>999999.84</t>
  </si>
  <si>
    <t>000422</t>
  </si>
  <si>
    <t>65000</t>
  </si>
  <si>
    <t>125287.5</t>
  </si>
  <si>
    <t>126166.765</t>
  </si>
  <si>
    <t>250.575</t>
  </si>
  <si>
    <t>628.69</t>
  </si>
  <si>
    <t>000423</t>
  </si>
  <si>
    <t>14616</t>
  </si>
  <si>
    <t>2.88</t>
  </si>
  <si>
    <t>42094.08</t>
  </si>
  <si>
    <t>42390.15816</t>
  </si>
  <si>
    <t>84.18816</t>
  </si>
  <si>
    <t>211.89</t>
  </si>
  <si>
    <t>000498</t>
  </si>
  <si>
    <t>BERENBERG</t>
  </si>
  <si>
    <t>GB00BYVX2X20</t>
  </si>
  <si>
    <t>TEAM17 GROUP PLC</t>
  </si>
  <si>
    <t>220000</t>
  </si>
  <si>
    <t>2.25</t>
  </si>
  <si>
    <t>495000</t>
  </si>
  <si>
    <t>495595</t>
  </si>
  <si>
    <t>594</t>
  </si>
  <si>
    <t>000424</t>
  </si>
  <si>
    <t>149</t>
  </si>
  <si>
    <t>2.86</t>
  </si>
  <si>
    <t>426.14</t>
  </si>
  <si>
    <t>429.12228</t>
  </si>
  <si>
    <t>0.85228</t>
  </si>
  <si>
    <t>2.13</t>
  </si>
  <si>
    <t>000425</t>
  </si>
  <si>
    <t>18404</t>
  </si>
  <si>
    <t>2.904388</t>
  </si>
  <si>
    <t>53452.35675</t>
  </si>
  <si>
    <t>53828.06147</t>
  </si>
  <si>
    <t>106.9047135</t>
  </si>
  <si>
    <t>268.8</t>
  </si>
  <si>
    <t>000426</t>
  </si>
  <si>
    <t>98392</t>
  </si>
  <si>
    <t>2.89</t>
  </si>
  <si>
    <t>284352.88</t>
  </si>
  <si>
    <t>286347.1958</t>
  </si>
  <si>
    <t>568.70576</t>
  </si>
  <si>
    <t>1425.61</t>
  </si>
  <si>
    <t>000427</t>
  </si>
  <si>
    <t>13443</t>
  </si>
  <si>
    <t>38984.7</t>
  </si>
  <si>
    <t>39258.9794</t>
  </si>
  <si>
    <t>77.9694</t>
  </si>
  <si>
    <t>196.31</t>
  </si>
  <si>
    <t>000499</t>
  </si>
  <si>
    <t>BZ77SW6</t>
  </si>
  <si>
    <t>GB00BZ77SW60</t>
  </si>
  <si>
    <t>NEXUS INFRASTRUCTURE PLC</t>
  </si>
  <si>
    <t>260000</t>
  </si>
  <si>
    <t>1.9</t>
  </si>
  <si>
    <t>494000</t>
  </si>
  <si>
    <t>494989</t>
  </si>
  <si>
    <t>988</t>
  </si>
  <si>
    <t>000428</t>
  </si>
  <si>
    <t>40000</t>
  </si>
  <si>
    <t>76000</t>
  </si>
  <si>
    <t>76153</t>
  </si>
  <si>
    <t>152</t>
  </si>
  <si>
    <t>000500</t>
  </si>
  <si>
    <t>54490</t>
  </si>
  <si>
    <t>0.1711</t>
  </si>
  <si>
    <t>9323.239</t>
  </si>
  <si>
    <t>9304.592522</t>
  </si>
  <si>
    <t>18.646478</t>
  </si>
  <si>
    <t>000429</t>
  </si>
  <si>
    <t>10898</t>
  </si>
  <si>
    <t>1864.6478</t>
  </si>
  <si>
    <t>1860.918504</t>
  </si>
  <si>
    <t>3.7292956</t>
  </si>
  <si>
    <t>000501</t>
  </si>
  <si>
    <t>BYVX2X2</t>
  </si>
  <si>
    <t>000073</t>
  </si>
  <si>
    <t>BZBX0P7</t>
  </si>
  <si>
    <t>GB00BZBX0P70</t>
  </si>
  <si>
    <t>THE GYM GROUP PLC</t>
  </si>
  <si>
    <t>12000</t>
  </si>
  <si>
    <t>2.16</t>
  </si>
  <si>
    <t>25920</t>
  </si>
  <si>
    <t>26102.7</t>
  </si>
  <si>
    <t>51.84</t>
  </si>
  <si>
    <t>130.86</t>
  </si>
  <si>
    <t>000502</t>
  </si>
  <si>
    <t>2771108</t>
  </si>
  <si>
    <t>0.134014</t>
  </si>
  <si>
    <t>371367.2675</t>
  </si>
  <si>
    <t>370623.543</t>
  </si>
  <si>
    <t>742.734535</t>
  </si>
  <si>
    <t>000430</t>
  </si>
  <si>
    <t>554223</t>
  </si>
  <si>
    <t>74273.64112</t>
  </si>
  <si>
    <t>74124.09384</t>
  </si>
  <si>
    <t>148.5472822</t>
  </si>
  <si>
    <t>000503</t>
  </si>
  <si>
    <t>BFWYSS8</t>
  </si>
  <si>
    <t>000431</t>
  </si>
  <si>
    <t>66878</t>
  </si>
  <si>
    <t>147131.6</t>
  </si>
  <si>
    <t>147426.8632</t>
  </si>
  <si>
    <t>294.2632</t>
  </si>
  <si>
    <t>000504</t>
  </si>
  <si>
    <t>159500</t>
  </si>
  <si>
    <t>350900</t>
  </si>
  <si>
    <t>350197.2</t>
  </si>
  <si>
    <t>701.8</t>
  </si>
  <si>
    <t>000505</t>
  </si>
  <si>
    <t>3031278</t>
  </si>
  <si>
    <t>GB0030312788</t>
  </si>
  <si>
    <t>OXFORD METRICS PLC</t>
  </si>
  <si>
    <t>17500</t>
  </si>
  <si>
    <t>0.9812</t>
  </si>
  <si>
    <t>17171</t>
  </si>
  <si>
    <t>17135.658</t>
  </si>
  <si>
    <t>34.342</t>
  </si>
  <si>
    <t>000506</t>
  </si>
  <si>
    <t>753934</t>
  </si>
  <si>
    <t>2.215358</t>
  </si>
  <si>
    <t>1670233.718</t>
  </si>
  <si>
    <t>1666892.251</t>
  </si>
  <si>
    <t>3340.467437</t>
  </si>
  <si>
    <t>000507</t>
  </si>
  <si>
    <t>100000</t>
  </si>
  <si>
    <t>1.41</t>
  </si>
  <si>
    <t>141000</t>
  </si>
  <si>
    <t>140717</t>
  </si>
  <si>
    <t>282</t>
  </si>
  <si>
    <t>000432</t>
  </si>
  <si>
    <t>1000000</t>
  </si>
  <si>
    <t>0.155</t>
  </si>
  <si>
    <t>155000</t>
  </si>
  <si>
    <t>155311</t>
  </si>
  <si>
    <t>310</t>
  </si>
  <si>
    <t>000074</t>
  </si>
  <si>
    <t>32000</t>
  </si>
  <si>
    <t>4960</t>
  </si>
  <si>
    <t>4969.92</t>
  </si>
  <si>
    <t>9.92</t>
  </si>
  <si>
    <t>000508</t>
  </si>
  <si>
    <t>125000</t>
  </si>
  <si>
    <t>0.12</t>
  </si>
  <si>
    <t>15000</t>
  </si>
  <si>
    <t>14969</t>
  </si>
  <si>
    <t>30</t>
  </si>
  <si>
    <t>000509</t>
  </si>
  <si>
    <t>0.98</t>
  </si>
  <si>
    <t>14700</t>
  </si>
  <si>
    <t>14669.6</t>
  </si>
  <si>
    <t>29.4</t>
  </si>
  <si>
    <t>000510</t>
  </si>
  <si>
    <t>72000</t>
  </si>
  <si>
    <t>2.222778</t>
  </si>
  <si>
    <t>160040.016</t>
  </si>
  <si>
    <t>159718.936</t>
  </si>
  <si>
    <t>320.080032</t>
  </si>
  <si>
    <t>000511</t>
  </si>
  <si>
    <t>250000</t>
  </si>
  <si>
    <t>1.37</t>
  </si>
  <si>
    <t>342500</t>
  </si>
  <si>
    <t>341814</t>
  </si>
  <si>
    <t>685</t>
  </si>
  <si>
    <t>000512</t>
  </si>
  <si>
    <t>GB00BH4JR002</t>
  </si>
  <si>
    <t>LOUNGERS PLC</t>
  </si>
  <si>
    <t>2188000</t>
  </si>
  <si>
    <t>2</t>
  </si>
  <si>
    <t>4376000</t>
  </si>
  <si>
    <t>000513</t>
  </si>
  <si>
    <t>818818</t>
  </si>
  <si>
    <t>98258.16</t>
  </si>
  <si>
    <t>98060.64368</t>
  </si>
  <si>
    <t>196.51632</t>
  </si>
  <si>
    <t>000075</t>
  </si>
  <si>
    <t>24000</t>
  </si>
  <si>
    <t>000514</t>
  </si>
  <si>
    <t>137000</t>
  </si>
  <si>
    <t>136725</t>
  </si>
  <si>
    <t>274</t>
  </si>
  <si>
    <t>000515</t>
  </si>
  <si>
    <t>BH4JR00</t>
  </si>
  <si>
    <t>000516</t>
  </si>
  <si>
    <t>878146</t>
  </si>
  <si>
    <t>2.240527</t>
  </si>
  <si>
    <t>1967509.823</t>
  </si>
  <si>
    <t>1963573.803</t>
  </si>
  <si>
    <t>3935.019646</t>
  </si>
  <si>
    <t>000517</t>
  </si>
  <si>
    <t>375000</t>
  </si>
  <si>
    <t>1.38</t>
  </si>
  <si>
    <t>517500</t>
  </si>
  <si>
    <t>516464</t>
  </si>
  <si>
    <t>1035</t>
  </si>
  <si>
    <t>000076</t>
  </si>
  <si>
    <t>000518</t>
  </si>
  <si>
    <t>112500</t>
  </si>
  <si>
    <t>0.125</t>
  </si>
  <si>
    <t>14062.5</t>
  </si>
  <si>
    <t>14033.375</t>
  </si>
  <si>
    <t>28.115</t>
  </si>
  <si>
    <t>000519</t>
  </si>
  <si>
    <t>4926</t>
  </si>
  <si>
    <t>1.473333</t>
  </si>
  <si>
    <t>7257.638358</t>
  </si>
  <si>
    <t>7243.123081</t>
  </si>
  <si>
    <t>14.51527672</t>
  </si>
  <si>
    <t>000520</t>
  </si>
  <si>
    <t>GB00B17MN067</t>
  </si>
  <si>
    <t>TASTY PLC</t>
  </si>
  <si>
    <t>10000000</t>
  </si>
  <si>
    <t>0.04</t>
  </si>
  <si>
    <t>400000</t>
  </si>
  <si>
    <t>000433</t>
  </si>
  <si>
    <t>1074</t>
  </si>
  <si>
    <t>1582.359642</t>
  </si>
  <si>
    <t>1579.204923</t>
  </si>
  <si>
    <t>3.164719284</t>
  </si>
  <si>
    <t>000434</t>
  </si>
  <si>
    <t>80000</t>
  </si>
  <si>
    <t>2.793</t>
  </si>
  <si>
    <t>223440</t>
  </si>
  <si>
    <t>225007.31</t>
  </si>
  <si>
    <t>446.88</t>
  </si>
  <si>
    <t>1120.43</t>
  </si>
  <si>
    <t>000521</t>
  </si>
  <si>
    <t>0969231</t>
  </si>
  <si>
    <t>GB0009692319</t>
  </si>
  <si>
    <t>WILMINGTON PLC</t>
  </si>
  <si>
    <t>360000</t>
  </si>
  <si>
    <t>2.04</t>
  </si>
  <si>
    <t>734400</t>
  </si>
  <si>
    <t>732930.2</t>
  </si>
  <si>
    <t>1468.8</t>
  </si>
  <si>
    <t>000435</t>
  </si>
  <si>
    <t>11000</t>
  </si>
  <si>
    <t>2.8593</t>
  </si>
  <si>
    <t>31452.3</t>
  </si>
  <si>
    <t>31388.3954</t>
  </si>
  <si>
    <t>62.9046</t>
  </si>
  <si>
    <t>000077</t>
  </si>
  <si>
    <t>2900</t>
  </si>
  <si>
    <t>3.62</t>
  </si>
  <si>
    <t>10498</t>
  </si>
  <si>
    <t>10476.004</t>
  </si>
  <si>
    <t>20.996</t>
  </si>
  <si>
    <t>000078</t>
  </si>
  <si>
    <t>2.345</t>
  </si>
  <si>
    <t>3986.5</t>
  </si>
  <si>
    <t>4014.443</t>
  </si>
  <si>
    <t>7.973</t>
  </si>
  <si>
    <t>19.97</t>
  </si>
  <si>
    <t>000522</t>
  </si>
  <si>
    <t>B17MN06</t>
  </si>
  <si>
    <t>000523</t>
  </si>
  <si>
    <t>2.06</t>
  </si>
  <si>
    <t>30900</t>
  </si>
  <si>
    <t>30837.2</t>
  </si>
  <si>
    <t>61.8</t>
  </si>
  <si>
    <t>000524</t>
  </si>
  <si>
    <t>10200</t>
  </si>
  <si>
    <t>10178.6</t>
  </si>
  <si>
    <t>20.4</t>
  </si>
  <si>
    <t>000436</t>
  </si>
  <si>
    <t>14250</t>
  </si>
  <si>
    <t>14220.5</t>
  </si>
  <si>
    <t>28.5</t>
  </si>
  <si>
    <t>000079</t>
  </si>
  <si>
    <t>7.7</t>
  </si>
  <si>
    <t>7700</t>
  </si>
  <si>
    <t>7715.4</t>
  </si>
  <si>
    <t>15.4</t>
  </si>
  <si>
    <t>000525</t>
  </si>
  <si>
    <t>WH IRELAND</t>
  </si>
  <si>
    <t>B196F55</t>
  </si>
  <si>
    <t>GB00B196F554</t>
  </si>
  <si>
    <t>AVATION PLC</t>
  </si>
  <si>
    <t>200000</t>
  </si>
  <si>
    <t>2.92</t>
  </si>
  <si>
    <t>584000</t>
  </si>
  <si>
    <t>582831</t>
  </si>
  <si>
    <t>1168</t>
  </si>
  <si>
    <t>000437</t>
  </si>
  <si>
    <t xml:space="preserve"> BF0FMG9</t>
  </si>
  <si>
    <t>1.626</t>
  </si>
  <si>
    <t>117072</t>
  </si>
  <si>
    <t>117307.144</t>
  </si>
  <si>
    <t>234.144</t>
  </si>
  <si>
    <t>000438</t>
  </si>
  <si>
    <t>2282</t>
  </si>
  <si>
    <t>6503.7</t>
  </si>
  <si>
    <t>6490.6926</t>
  </si>
  <si>
    <t>13.0074</t>
  </si>
  <si>
    <t>000439</t>
  </si>
  <si>
    <t>5282</t>
  </si>
  <si>
    <t>15053.7</t>
  </si>
  <si>
    <t>15022.5926</t>
  </si>
  <si>
    <t>30.1074</t>
  </si>
  <si>
    <t>000526</t>
  </si>
  <si>
    <t>98520</t>
  </si>
  <si>
    <t>1.27</t>
  </si>
  <si>
    <t>125120.4</t>
  </si>
  <si>
    <t>124869.1592</t>
  </si>
  <si>
    <t>250.2408</t>
  </si>
  <si>
    <t>000440</t>
  </si>
  <si>
    <t>21480</t>
  </si>
  <si>
    <t>27279.6</t>
  </si>
  <si>
    <t>27224.0408</t>
  </si>
  <si>
    <t>54.5592</t>
  </si>
  <si>
    <t>000441</t>
  </si>
  <si>
    <t>BH4HKS3</t>
  </si>
  <si>
    <t>GB00BH4HKS39</t>
  </si>
  <si>
    <t>VODAFONE GROUP PLC</t>
  </si>
  <si>
    <t>691000</t>
  </si>
  <si>
    <t>1.323323</t>
  </si>
  <si>
    <t>914416.193</t>
  </si>
  <si>
    <t>913500.7668</t>
  </si>
  <si>
    <t>914.416193</t>
  </si>
  <si>
    <t>000442</t>
  </si>
  <si>
    <t>110000</t>
  </si>
  <si>
    <t>2.265</t>
  </si>
  <si>
    <t>249150</t>
  </si>
  <si>
    <t>250897.54</t>
  </si>
  <si>
    <t>498.3</t>
  </si>
  <si>
    <t>1249.24</t>
  </si>
  <si>
    <t>000443</t>
  </si>
  <si>
    <t>41000</t>
  </si>
  <si>
    <t>3.12</t>
  </si>
  <si>
    <t>127920</t>
  </si>
  <si>
    <t>128176.84</t>
  </si>
  <si>
    <t>255.84</t>
  </si>
  <si>
    <t>000080</t>
  </si>
  <si>
    <t>6975</t>
  </si>
  <si>
    <t>6988.95</t>
  </si>
  <si>
    <t>13.95</t>
  </si>
  <si>
    <t>000527</t>
  </si>
  <si>
    <t>1399427</t>
  </si>
  <si>
    <t>2798854</t>
  </si>
  <si>
    <t>2793255.292</t>
  </si>
  <si>
    <t>5597.708</t>
  </si>
  <si>
    <t>000444</t>
  </si>
  <si>
    <t>7192</t>
  </si>
  <si>
    <t>20497.2</t>
  </si>
  <si>
    <t>20455.2056</t>
  </si>
  <si>
    <t>40.9944</t>
  </si>
  <si>
    <t>000528</t>
  </si>
  <si>
    <t>246299</t>
  </si>
  <si>
    <t>1.3</t>
  </si>
  <si>
    <t>320188.7</t>
  </si>
  <si>
    <t>319547.3226</t>
  </si>
  <si>
    <t>640.3774</t>
  </si>
  <si>
    <t>000445</t>
  </si>
  <si>
    <t>0006053</t>
  </si>
  <si>
    <t>GB0000060532</t>
  </si>
  <si>
    <t>NETCALL PLC</t>
  </si>
  <si>
    <t>49550</t>
  </si>
  <si>
    <t>0.565</t>
  </si>
  <si>
    <t>27995.75</t>
  </si>
  <si>
    <t>27938.7585</t>
  </si>
  <si>
    <t>55.9915</t>
  </si>
  <si>
    <t>000446</t>
  </si>
  <si>
    <t>2.96</t>
  </si>
  <si>
    <t>8880</t>
  </si>
  <si>
    <t>8862.24</t>
  </si>
  <si>
    <t>17.76</t>
  </si>
  <si>
    <t>000447</t>
  </si>
  <si>
    <t>53701</t>
  </si>
  <si>
    <t>69811.3</t>
  </si>
  <si>
    <t>69670.6774</t>
  </si>
  <si>
    <t>139.6226</t>
  </si>
  <si>
    <t>000529</t>
  </si>
  <si>
    <t>41050</t>
  </si>
  <si>
    <t>53365</t>
  </si>
  <si>
    <t>53257.27</t>
  </si>
  <si>
    <t>106.73</t>
  </si>
  <si>
    <t>000530</t>
  </si>
  <si>
    <t>ZEUS</t>
  </si>
  <si>
    <t>BCCW4X8</t>
  </si>
  <si>
    <t>GB00BCCW4X83</t>
  </si>
  <si>
    <t>CENTRALNIC GROUP PLC</t>
  </si>
  <si>
    <t>0.66</t>
  </si>
  <si>
    <t>164669</t>
  </si>
  <si>
    <t>330</t>
  </si>
  <si>
    <t>000448</t>
  </si>
  <si>
    <t>8950</t>
  </si>
  <si>
    <t>11635</t>
  </si>
  <si>
    <t>11610.73</t>
  </si>
  <si>
    <t>23.27</t>
  </si>
  <si>
    <t>000531</t>
  </si>
  <si>
    <t>2.94</t>
  </si>
  <si>
    <t>29400</t>
  </si>
  <si>
    <t>29340.2</t>
  </si>
  <si>
    <t>58.8</t>
  </si>
  <si>
    <t>000532</t>
  </si>
  <si>
    <t>197039</t>
  </si>
  <si>
    <t>256150.7</t>
  </si>
  <si>
    <t>255637.3986</t>
  </si>
  <si>
    <t>512.3014</t>
  </si>
  <si>
    <t>000449</t>
  </si>
  <si>
    <t>42961</t>
  </si>
  <si>
    <t>55849.3</t>
  </si>
  <si>
    <t>55736.6014</t>
  </si>
  <si>
    <t>111.6986</t>
  </si>
  <si>
    <t>000533</t>
  </si>
  <si>
    <t>632166</t>
  </si>
  <si>
    <t>821815.8</t>
  </si>
  <si>
    <t>820171.1684</t>
  </si>
  <si>
    <t>1643.6316</t>
  </si>
  <si>
    <t>000450</t>
  </si>
  <si>
    <t>137834</t>
  </si>
  <si>
    <t>179184.2</t>
  </si>
  <si>
    <t>178824.8316</t>
  </si>
  <si>
    <t>358.3684</t>
  </si>
  <si>
    <t>000451</t>
  </si>
  <si>
    <t>29600</t>
  </si>
  <si>
    <t>3.059986</t>
  </si>
  <si>
    <t>90575.5856</t>
  </si>
  <si>
    <t>91211.51677</t>
  </si>
  <si>
    <t>181.1511712</t>
  </si>
  <si>
    <t>454.78</t>
  </si>
  <si>
    <t>000452</t>
  </si>
  <si>
    <t>49000</t>
  </si>
  <si>
    <t>1.96</t>
  </si>
  <si>
    <t>96040</t>
  </si>
  <si>
    <t>96714.24</t>
  </si>
  <si>
    <t>192.08</t>
  </si>
  <si>
    <t>482.16</t>
  </si>
  <si>
    <t>000453</t>
  </si>
  <si>
    <t>44000</t>
  </si>
  <si>
    <t>2.61</t>
  </si>
  <si>
    <t>114840</t>
  </si>
  <si>
    <t>115646.03</t>
  </si>
  <si>
    <t>229.68</t>
  </si>
  <si>
    <t>576.35</t>
  </si>
  <si>
    <t>000454</t>
  </si>
  <si>
    <t>67000</t>
  </si>
  <si>
    <t>144720</t>
  </si>
  <si>
    <t>145010.44</t>
  </si>
  <si>
    <t>289.44</t>
  </si>
  <si>
    <t>000455</t>
  </si>
  <si>
    <t>61000</t>
  </si>
  <si>
    <t>3.522</t>
  </si>
  <si>
    <t>214842</t>
  </si>
  <si>
    <t>215056.842</t>
  </si>
  <si>
    <t>214.842</t>
  </si>
  <si>
    <t>000456</t>
  </si>
  <si>
    <t>24500</t>
  </si>
  <si>
    <t>68600</t>
  </si>
  <si>
    <t>69081.89</t>
  </si>
  <si>
    <t>137.2</t>
  </si>
  <si>
    <t>344.69</t>
  </si>
  <si>
    <t>000457</t>
  </si>
  <si>
    <t>243000</t>
  </si>
  <si>
    <t>0.78</t>
  </si>
  <si>
    <t>189540</t>
  </si>
  <si>
    <t>189920.08</t>
  </si>
  <si>
    <t>379.08</t>
  </si>
  <si>
    <t>000458</t>
  </si>
  <si>
    <t>39000</t>
  </si>
  <si>
    <t>3.18</t>
  </si>
  <si>
    <t>124020</t>
  </si>
  <si>
    <t>124890.38</t>
  </si>
  <si>
    <t>248.04</t>
  </si>
  <si>
    <t>622.34</t>
  </si>
  <si>
    <t>000459</t>
  </si>
  <si>
    <t>SHORE CAP</t>
  </si>
  <si>
    <t>1963000</t>
  </si>
  <si>
    <t>0.145</t>
  </si>
  <si>
    <t>284635</t>
  </si>
  <si>
    <t>285205.27</t>
  </si>
  <si>
    <t>569.27</t>
  </si>
  <si>
    <t>000460</t>
  </si>
  <si>
    <t>33153</t>
  </si>
  <si>
    <t>1.55</t>
  </si>
  <si>
    <t>51387.15</t>
  </si>
  <si>
    <t>51748.3743</t>
  </si>
  <si>
    <t>102.7743</t>
  </si>
  <si>
    <t>258.45</t>
  </si>
  <si>
    <t>000461</t>
  </si>
  <si>
    <t>64000</t>
  </si>
  <si>
    <t>2.275</t>
  </si>
  <si>
    <t>145600</t>
  </si>
  <si>
    <t>146621.66</t>
  </si>
  <si>
    <t>291.2</t>
  </si>
  <si>
    <t>730.46</t>
  </si>
  <si>
    <t>000462</t>
  </si>
  <si>
    <t>VITEC GROUP PLC (THE)</t>
  </si>
  <si>
    <t>11.25</t>
  </si>
  <si>
    <t>118125</t>
  </si>
  <si>
    <t>118954.06</t>
  </si>
  <si>
    <t>236.25</t>
  </si>
  <si>
    <t>592.81</t>
  </si>
  <si>
    <t>000465</t>
  </si>
  <si>
    <t>B05M646</t>
  </si>
  <si>
    <t>GB00B05M6465</t>
  </si>
  <si>
    <t>NUMIS CORPORATION PLC</t>
  </si>
  <si>
    <t>2.694949</t>
  </si>
  <si>
    <t>32339.388</t>
  </si>
  <si>
    <t>32405.06678</t>
  </si>
  <si>
    <t>64.678776</t>
  </si>
  <si>
    <t>000466</t>
  </si>
  <si>
    <t>2.68</t>
  </si>
  <si>
    <t>109880</t>
  </si>
  <si>
    <t>110100.76</t>
  </si>
  <si>
    <t>219.76</t>
  </si>
  <si>
    <t>000535</t>
  </si>
  <si>
    <t>BYX1P35</t>
  </si>
  <si>
    <t>GB00BYX1P358</t>
  </si>
  <si>
    <t>TATTON ASSET MANAGEMENT PLC</t>
  </si>
  <si>
    <t>228000</t>
  </si>
  <si>
    <t>2.08</t>
  </si>
  <si>
    <t>474240</t>
  </si>
  <si>
    <t>475189.48</t>
  </si>
  <si>
    <t>948.48</t>
  </si>
  <si>
    <t>000536</t>
  </si>
  <si>
    <t>2.415</t>
  </si>
  <si>
    <t>531300</t>
  </si>
  <si>
    <t>530236.4</t>
  </si>
  <si>
    <t>1062.6</t>
  </si>
  <si>
    <t>000468</t>
  </si>
  <si>
    <t>52000</t>
  </si>
  <si>
    <t>108160</t>
  </si>
  <si>
    <t>108377.32</t>
  </si>
  <si>
    <t>216.32</t>
  </si>
  <si>
    <t>000537</t>
  </si>
  <si>
    <t>BYWRS68</t>
  </si>
  <si>
    <t>GB00BYWRS683</t>
  </si>
  <si>
    <t>CITY PUB GROUP PLC (THE)</t>
  </si>
  <si>
    <t>600000</t>
  </si>
  <si>
    <t>1320000</t>
  </si>
  <si>
    <t>1317359</t>
  </si>
  <si>
    <t>2640</t>
  </si>
  <si>
    <t>6869</t>
  </si>
  <si>
    <t>2.31145</t>
  </si>
  <si>
    <t>15877.35005</t>
  </si>
  <si>
    <t>15910.10475</t>
  </si>
  <si>
    <t>31.7547001</t>
  </si>
  <si>
    <t>9100</t>
  </si>
  <si>
    <t>6.465</t>
  </si>
  <si>
    <t>58831.5</t>
  </si>
  <si>
    <t>58950.163</t>
  </si>
  <si>
    <t>117.663</t>
  </si>
  <si>
    <t>67100</t>
  </si>
  <si>
    <t>0.74</t>
  </si>
  <si>
    <t>49654</t>
  </si>
  <si>
    <t>49754.308</t>
  </si>
  <si>
    <t>99.308</t>
  </si>
  <si>
    <t>39600</t>
  </si>
  <si>
    <t>2.22</t>
  </si>
  <si>
    <t>87912</t>
  </si>
  <si>
    <t>88088.824</t>
  </si>
  <si>
    <t>175.824</t>
  </si>
  <si>
    <t>9150</t>
  </si>
  <si>
    <t>5.792678</t>
  </si>
  <si>
    <t>53003.0037</t>
  </si>
  <si>
    <t>53110.00971</t>
  </si>
  <si>
    <t>106.0060074</t>
  </si>
  <si>
    <t>11400</t>
  </si>
  <si>
    <t>6.1</t>
  </si>
  <si>
    <t>69540</t>
  </si>
  <si>
    <t>69680.08</t>
  </si>
  <si>
    <t>139.08</t>
  </si>
  <si>
    <t>39500</t>
  </si>
  <si>
    <t>1.585</t>
  </si>
  <si>
    <t>62607.5</t>
  </si>
  <si>
    <t>62733.715</t>
  </si>
  <si>
    <t>125.215</t>
  </si>
  <si>
    <t>27800</t>
  </si>
  <si>
    <t>2.26</t>
  </si>
  <si>
    <t>62828</t>
  </si>
  <si>
    <t>62954.656</t>
  </si>
  <si>
    <t>125.656</t>
  </si>
  <si>
    <t>7941</t>
  </si>
  <si>
    <t>5.896906</t>
  </si>
  <si>
    <t>46827.33055</t>
  </si>
  <si>
    <t>46921.97521</t>
  </si>
  <si>
    <t>93.65466109</t>
  </si>
  <si>
    <t>8.1</t>
  </si>
  <si>
    <t>40500</t>
  </si>
  <si>
    <t>40582</t>
  </si>
  <si>
    <t>81</t>
  </si>
  <si>
    <t>5954</t>
  </si>
  <si>
    <t>5.899723</t>
  </si>
  <si>
    <t>35126.95074</t>
  </si>
  <si>
    <t>35198.20464</t>
  </si>
  <si>
    <t>70.25390148</t>
  </si>
  <si>
    <t>1900</t>
  </si>
  <si>
    <t>17.8</t>
  </si>
  <si>
    <t>33820</t>
  </si>
  <si>
    <t>33888.64</t>
  </si>
  <si>
    <t>67.64</t>
  </si>
  <si>
    <t>7490</t>
  </si>
  <si>
    <t>6.89</t>
  </si>
  <si>
    <t>51606.1</t>
  </si>
  <si>
    <t>51710.3122</t>
  </si>
  <si>
    <t>103.2122</t>
  </si>
  <si>
    <t>32250</t>
  </si>
  <si>
    <t>2.1</t>
  </si>
  <si>
    <t>67725</t>
  </si>
  <si>
    <t>67861.45</t>
  </si>
  <si>
    <t>135.45</t>
  </si>
  <si>
    <t>INSPIRED ENERGY ORD 0.125P</t>
  </si>
  <si>
    <t>621000</t>
  </si>
  <si>
    <t>0.1475</t>
  </si>
  <si>
    <t>91597.5</t>
  </si>
  <si>
    <t>91781.695</t>
  </si>
  <si>
    <t>183.195</t>
  </si>
  <si>
    <t>RESTORE ORD</t>
  </si>
  <si>
    <t>24150</t>
  </si>
  <si>
    <t>4.1</t>
  </si>
  <si>
    <t>99015</t>
  </si>
  <si>
    <t>99214.03</t>
  </si>
  <si>
    <t>198.03</t>
  </si>
  <si>
    <t>21631</t>
  </si>
  <si>
    <t>49967.61</t>
  </si>
  <si>
    <t>50068.54522</t>
  </si>
  <si>
    <t>99.93522</t>
  </si>
  <si>
    <t>GRESHAM HOUSE UK MICRO CAP FUND</t>
  </si>
  <si>
    <t>535000</t>
  </si>
  <si>
    <t>2.29</t>
  </si>
  <si>
    <t>1225150</t>
  </si>
  <si>
    <t>1227601.3</t>
  </si>
  <si>
    <t>2450.3</t>
  </si>
  <si>
    <t>GRESHAM HOUSE UK MULTI CAP INCOME FUND</t>
  </si>
  <si>
    <t>INSPIRED ENERGY ORD</t>
  </si>
  <si>
    <t>900000</t>
  </si>
  <si>
    <t>130500</t>
  </si>
  <si>
    <t>130762</t>
  </si>
  <si>
    <t>261</t>
  </si>
  <si>
    <t>B13YVN5</t>
  </si>
  <si>
    <t>GB00B13YVN56</t>
  </si>
  <si>
    <t>VIANET GRP ORD</t>
  </si>
  <si>
    <t>1.405</t>
  </si>
  <si>
    <t>56200</t>
  </si>
  <si>
    <t>56313.4</t>
  </si>
  <si>
    <t>112.4</t>
  </si>
  <si>
    <t>000118</t>
  </si>
  <si>
    <t>2959</t>
  </si>
  <si>
    <t>5.9</t>
  </si>
  <si>
    <t>17458.1</t>
  </si>
  <si>
    <t>17494.0162</t>
  </si>
  <si>
    <t>34.9162</t>
  </si>
  <si>
    <t>000119</t>
  </si>
  <si>
    <t>MATTIOLI ORD</t>
  </si>
  <si>
    <t>5550</t>
  </si>
  <si>
    <t>44955</t>
  </si>
  <si>
    <t>45045.91</t>
  </si>
  <si>
    <t>89.91</t>
  </si>
  <si>
    <t>000538</t>
  </si>
  <si>
    <t>TATTON ASSET M. ORD</t>
  </si>
  <si>
    <t>445500</t>
  </si>
  <si>
    <t>2.135</t>
  </si>
  <si>
    <t>951142.5</t>
  </si>
  <si>
    <t>953045.785</t>
  </si>
  <si>
    <t>1902.285</t>
  </si>
  <si>
    <t>000539</t>
  </si>
  <si>
    <t>B0CM0C5</t>
  </si>
  <si>
    <t xml:space="preserve"> GB00B0CM0C50</t>
  </si>
  <si>
    <t>IDEAGEN PLC</t>
  </si>
  <si>
    <t>604379</t>
  </si>
  <si>
    <t>1.4525</t>
  </si>
  <si>
    <t>877860.4975</t>
  </si>
  <si>
    <t>879617.2185</t>
  </si>
  <si>
    <t>1755.720995</t>
  </si>
  <si>
    <t>101750</t>
  </si>
  <si>
    <t>217236.25</t>
  </si>
  <si>
    <t>217671.7225</t>
  </si>
  <si>
    <t>434.4725</t>
  </si>
  <si>
    <t>ARENA EVENTS G.</t>
  </si>
  <si>
    <t>0.37</t>
  </si>
  <si>
    <t>18538</t>
  </si>
  <si>
    <t>37</t>
  </si>
  <si>
    <t>000121</t>
  </si>
  <si>
    <t>GB00B0CM0C50</t>
  </si>
  <si>
    <t>30621</t>
  </si>
  <si>
    <t>44477.0025</t>
  </si>
  <si>
    <t>44566.9465</t>
  </si>
  <si>
    <t>88.954005</t>
  </si>
  <si>
    <t>000122</t>
  </si>
  <si>
    <t>ERGOMED ORD</t>
  </si>
  <si>
    <t>23100</t>
  </si>
  <si>
    <t>2.711342</t>
  </si>
  <si>
    <t>62632.0002</t>
  </si>
  <si>
    <t>62758.2642</t>
  </si>
  <si>
    <t>125.2640004</t>
  </si>
  <si>
    <t>000123</t>
  </si>
  <si>
    <t>2.485</t>
  </si>
  <si>
    <t>62125</t>
  </si>
  <si>
    <t>62250.25</t>
  </si>
  <si>
    <t>124.25</t>
  </si>
  <si>
    <t>000540</t>
  </si>
  <si>
    <t xml:space="preserve"> IDEAGEN PLC</t>
  </si>
  <si>
    <t>277443</t>
  </si>
  <si>
    <t>1.465</t>
  </si>
  <si>
    <t>406453.995</t>
  </si>
  <si>
    <t>407267.913</t>
  </si>
  <si>
    <t>812.90799</t>
  </si>
  <si>
    <t>000124</t>
  </si>
  <si>
    <t>14057</t>
  </si>
  <si>
    <t>20593.505</t>
  </si>
  <si>
    <t>20635.70201</t>
  </si>
  <si>
    <t>41.18701</t>
  </si>
  <si>
    <t>000541</t>
  </si>
  <si>
    <t>447857</t>
  </si>
  <si>
    <t>956174.695</t>
  </si>
  <si>
    <t>958088.0544</t>
  </si>
  <si>
    <t>1912.34939</t>
  </si>
  <si>
    <t>000542</t>
  </si>
  <si>
    <t>53176</t>
  </si>
  <si>
    <t>114860.16</t>
  </si>
  <si>
    <t>115090.8903</t>
  </si>
  <si>
    <t>229.72032</t>
  </si>
  <si>
    <t>000543</t>
  </si>
  <si>
    <t>CANNACORD</t>
  </si>
  <si>
    <t>95178</t>
  </si>
  <si>
    <t>139435.77</t>
  </si>
  <si>
    <t>139715.6415</t>
  </si>
  <si>
    <t>278.87154</t>
  </si>
  <si>
    <t>102143</t>
  </si>
  <si>
    <t>218075.305</t>
  </si>
  <si>
    <t>218512.4556</t>
  </si>
  <si>
    <t>436.15061</t>
  </si>
  <si>
    <t>12128</t>
  </si>
  <si>
    <t>26196.48</t>
  </si>
  <si>
    <t>26249.87296</t>
  </si>
  <si>
    <t>52.39296</t>
  </si>
  <si>
    <t>38000</t>
  </si>
  <si>
    <t>38077</t>
  </si>
  <si>
    <t>76</t>
  </si>
  <si>
    <t>32173</t>
  </si>
  <si>
    <t>2.83</t>
  </si>
  <si>
    <t>91049.59</t>
  </si>
  <si>
    <t>91048.59</t>
  </si>
  <si>
    <t>000125</t>
  </si>
  <si>
    <t>91050.59</t>
  </si>
  <si>
    <t>000544</t>
  </si>
  <si>
    <t>270000</t>
  </si>
  <si>
    <t>2.745</t>
  </si>
  <si>
    <t>741150</t>
  </si>
  <si>
    <t>739666.7</t>
  </si>
  <si>
    <t>1482.3</t>
  </si>
  <si>
    <t>0.3775</t>
  </si>
  <si>
    <t>37750</t>
  </si>
  <si>
    <t>37826.5</t>
  </si>
  <si>
    <t>75.5</t>
  </si>
  <si>
    <t>000545</t>
  </si>
  <si>
    <t>33000</t>
  </si>
  <si>
    <t>95040</t>
  </si>
  <si>
    <t>94848.92</t>
  </si>
  <si>
    <t>190.08</t>
  </si>
  <si>
    <t>124000</t>
  </si>
  <si>
    <t>0.375</t>
  </si>
  <si>
    <t>46500</t>
  </si>
  <si>
    <t>46594</t>
  </si>
  <si>
    <t>93</t>
  </si>
  <si>
    <t>000135</t>
  </si>
  <si>
    <t>5.33</t>
  </si>
  <si>
    <t>15990</t>
  </si>
  <si>
    <t>16022.98</t>
  </si>
  <si>
    <t>31.98</t>
  </si>
  <si>
    <t xml:space="preserve"> GB00BFYF6298</t>
  </si>
  <si>
    <t>58000</t>
  </si>
  <si>
    <t>162400</t>
  </si>
  <si>
    <t>162074.2</t>
  </si>
  <si>
    <t>324.8</t>
  </si>
  <si>
    <t>000136</t>
  </si>
  <si>
    <t>4409</t>
  </si>
  <si>
    <t>6.103517</t>
  </si>
  <si>
    <t>26910.40645</t>
  </si>
  <si>
    <t>26965.22727</t>
  </si>
  <si>
    <t>53.82081291</t>
  </si>
  <si>
    <t>000548</t>
  </si>
  <si>
    <t>000549</t>
  </si>
  <si>
    <t>28000</t>
  </si>
  <si>
    <t>27943</t>
  </si>
  <si>
    <t>56</t>
  </si>
  <si>
    <t>000550</t>
  </si>
  <si>
    <t>000553</t>
  </si>
  <si>
    <t>1502048</t>
  </si>
  <si>
    <t>4.27</t>
  </si>
  <si>
    <t>6413744.96</t>
  </si>
  <si>
    <t>6400916.47</t>
  </si>
  <si>
    <t>12827.48992</t>
  </si>
  <si>
    <t>312633</t>
  </si>
  <si>
    <t>1334942.91</t>
  </si>
  <si>
    <t>1332272.024</t>
  </si>
  <si>
    <t>2669.88582</t>
  </si>
  <si>
    <t>000139</t>
  </si>
  <si>
    <t>8500</t>
  </si>
  <si>
    <t>36295</t>
  </si>
  <si>
    <t>36221.41</t>
  </si>
  <si>
    <t>72.59</t>
  </si>
  <si>
    <t>215758</t>
  </si>
  <si>
    <t>1.903379</t>
  </si>
  <si>
    <t>410669.2463</t>
  </si>
  <si>
    <t>409846.9078</t>
  </si>
  <si>
    <t>821.3384926</t>
  </si>
  <si>
    <t>000141</t>
  </si>
  <si>
    <t>19422</t>
  </si>
  <si>
    <t>36967.42694</t>
  </si>
  <si>
    <t>36892.50208</t>
  </si>
  <si>
    <t>73.93485388</t>
  </si>
  <si>
    <t>17430</t>
  </si>
  <si>
    <t>48804</t>
  </si>
  <si>
    <t>48705.392</t>
  </si>
  <si>
    <t>97.608</t>
  </si>
  <si>
    <t>108739</t>
  </si>
  <si>
    <t>299032.25</t>
  </si>
  <si>
    <t>298433.1855</t>
  </si>
  <si>
    <t>598.0645</t>
  </si>
  <si>
    <t>000463</t>
  </si>
  <si>
    <t>173847</t>
  </si>
  <si>
    <t>269462.85</t>
  </si>
  <si>
    <t>271352.7857</t>
  </si>
  <si>
    <t>538.9257</t>
  </si>
  <si>
    <t>1351.01</t>
  </si>
  <si>
    <t>000464</t>
  </si>
  <si>
    <t>47600</t>
  </si>
  <si>
    <t>2.327463</t>
  </si>
  <si>
    <t>110787.2388</t>
  </si>
  <si>
    <t>111564.8533</t>
  </si>
  <si>
    <t>221.5744776</t>
  </si>
  <si>
    <t>556.04</t>
  </si>
  <si>
    <t>000081</t>
  </si>
  <si>
    <t>3.528</t>
  </si>
  <si>
    <t>15876</t>
  </si>
  <si>
    <t>15891.876</t>
  </si>
  <si>
    <t>15.876</t>
  </si>
  <si>
    <t>000534</t>
  </si>
  <si>
    <t>523680</t>
  </si>
  <si>
    <t>2.05</t>
  </si>
  <si>
    <t>1073544</t>
  </si>
  <si>
    <t>1081070.538</t>
  </si>
  <si>
    <t>2147.088</t>
  </si>
  <si>
    <t>5379.46</t>
  </si>
  <si>
    <t>000467</t>
  </si>
  <si>
    <t>79967</t>
  </si>
  <si>
    <t>163932.35</t>
  </si>
  <si>
    <t>165082.5147</t>
  </si>
  <si>
    <t>327.8647</t>
  </si>
  <si>
    <t>822.3</t>
  </si>
  <si>
    <t>000469</t>
  </si>
  <si>
    <t>9430</t>
  </si>
  <si>
    <t>2.219055</t>
  </si>
  <si>
    <t>20925.68865</t>
  </si>
  <si>
    <t>21073.38003</t>
  </si>
  <si>
    <t>41.8513773</t>
  </si>
  <si>
    <t>105.84</t>
  </si>
  <si>
    <t>000082</t>
  </si>
  <si>
    <t>1415</t>
  </si>
  <si>
    <t>2900.75</t>
  </si>
  <si>
    <t>2921.0815</t>
  </si>
  <si>
    <t>5.8015</t>
  </si>
  <si>
    <t>14.53</t>
  </si>
  <si>
    <t>3.4505</t>
  </si>
  <si>
    <t>37955.5</t>
  </si>
  <si>
    <t>37993.4555</t>
  </si>
  <si>
    <t>37.9555</t>
  </si>
  <si>
    <t>17150</t>
  </si>
  <si>
    <t>3.064</t>
  </si>
  <si>
    <t>52547.6</t>
  </si>
  <si>
    <t>52916.9552</t>
  </si>
  <si>
    <t>105.0952</t>
  </si>
  <si>
    <t>264.26</t>
  </si>
  <si>
    <t>20000</t>
  </si>
  <si>
    <t>2.43</t>
  </si>
  <si>
    <t>48600</t>
  </si>
  <si>
    <t>48941.69</t>
  </si>
  <si>
    <t>97.2</t>
  </si>
  <si>
    <t>244.49</t>
  </si>
  <si>
    <t>173</t>
  </si>
  <si>
    <t>3.20763</t>
  </si>
  <si>
    <t>554.91999</t>
  </si>
  <si>
    <t>558.80983</t>
  </si>
  <si>
    <t>1.10983998</t>
  </si>
  <si>
    <t>2.78</t>
  </si>
  <si>
    <t>23600</t>
  </si>
  <si>
    <t>2.4025</t>
  </si>
  <si>
    <t>56699</t>
  </si>
  <si>
    <t>57097.458</t>
  </si>
  <si>
    <t>113.398</t>
  </si>
  <si>
    <t>285.06</t>
  </si>
  <si>
    <t>7950</t>
  </si>
  <si>
    <t>4.494951</t>
  </si>
  <si>
    <t>35734.86045</t>
  </si>
  <si>
    <t>35986.00017</t>
  </si>
  <si>
    <t>71.4697209</t>
  </si>
  <si>
    <t>179.67</t>
  </si>
  <si>
    <t>2285</t>
  </si>
  <si>
    <t>26.25</t>
  </si>
  <si>
    <t>59981.25</t>
  </si>
  <si>
    <t>60402.7225</t>
  </si>
  <si>
    <t>119.9625</t>
  </si>
  <si>
    <t>301.51</t>
  </si>
  <si>
    <t>1450</t>
  </si>
  <si>
    <t>47.064503</t>
  </si>
  <si>
    <t>68243.52935</t>
  </si>
  <si>
    <t>68722.91641</t>
  </si>
  <si>
    <t>136.4870587</t>
  </si>
  <si>
    <t>342.9</t>
  </si>
  <si>
    <t>6444</t>
  </si>
  <si>
    <t>2.422956</t>
  </si>
  <si>
    <t>15613.52846</t>
  </si>
  <si>
    <t>15723.97552</t>
  </si>
  <si>
    <t>31.22705693</t>
  </si>
  <si>
    <t>79.22</t>
  </si>
  <si>
    <t>1477</t>
  </si>
  <si>
    <t>4106.06</t>
  </si>
  <si>
    <t>4114.27212</t>
  </si>
  <si>
    <t>8.21212</t>
  </si>
  <si>
    <t>19000</t>
  </si>
  <si>
    <t>1.925</t>
  </si>
  <si>
    <t>36575</t>
  </si>
  <si>
    <t>36832.39</t>
  </si>
  <si>
    <t>73.15</t>
  </si>
  <si>
    <t>184.24</t>
  </si>
  <si>
    <t>7270</t>
  </si>
  <si>
    <t>7.27649</t>
  </si>
  <si>
    <t>52900.0823</t>
  </si>
  <si>
    <t>53271.91246</t>
  </si>
  <si>
    <t>105.8001646</t>
  </si>
  <si>
    <t>266.03</t>
  </si>
  <si>
    <t>2.125</t>
  </si>
  <si>
    <t>74587.5</t>
  </si>
  <si>
    <t>75111.355</t>
  </si>
  <si>
    <t>149.175</t>
  </si>
  <si>
    <t>374.68</t>
  </si>
  <si>
    <t>3130</t>
  </si>
  <si>
    <t>14.935208</t>
  </si>
  <si>
    <t>46747.20104</t>
  </si>
  <si>
    <t>47075.88544</t>
  </si>
  <si>
    <t>93.49440208</t>
  </si>
  <si>
    <t>235.2</t>
  </si>
  <si>
    <t>3250</t>
  </si>
  <si>
    <t>11.6</t>
  </si>
  <si>
    <t>37700</t>
  </si>
  <si>
    <t>37965.28</t>
  </si>
  <si>
    <t>75.4</t>
  </si>
  <si>
    <t>189.88</t>
  </si>
  <si>
    <t>458</t>
  </si>
  <si>
    <t>1.53</t>
  </si>
  <si>
    <t>700.74</t>
  </si>
  <si>
    <t>705.65148</t>
  </si>
  <si>
    <t>1.40148</t>
  </si>
  <si>
    <t>3.51</t>
  </si>
  <si>
    <t>16856</t>
  </si>
  <si>
    <t>2.48</t>
  </si>
  <si>
    <t>41802.88</t>
  </si>
  <si>
    <t>42096.91576</t>
  </si>
  <si>
    <t>83.60576</t>
  </si>
  <si>
    <t>210.43</t>
  </si>
  <si>
    <t>B&amp;M EUROPEAN VALUE RETAIL</t>
  </si>
  <si>
    <t>3.422423</t>
  </si>
  <si>
    <t>246414.456</t>
  </si>
  <si>
    <t>246660.8705</t>
  </si>
  <si>
    <t>246.414456</t>
  </si>
  <si>
    <t>000117</t>
  </si>
  <si>
    <t>COSTAIN GRP. ORD</t>
  </si>
  <si>
    <t>19927</t>
  </si>
  <si>
    <t>3.242788</t>
  </si>
  <si>
    <t>64619.03648</t>
  </si>
  <si>
    <t>65073.02455</t>
  </si>
  <si>
    <t>129.238073</t>
  </si>
  <si>
    <t>324.74</t>
  </si>
  <si>
    <t>000120</t>
  </si>
  <si>
    <t>2750</t>
  </si>
  <si>
    <t>5871.25</t>
  </si>
  <si>
    <t>5882.9925</t>
  </si>
  <si>
    <t>11.7425</t>
  </si>
  <si>
    <t>LIBEUM CAPITAL</t>
  </si>
  <si>
    <t>XPS PENSIONS ORD</t>
  </si>
  <si>
    <t>35000</t>
  </si>
  <si>
    <t>1.545</t>
  </si>
  <si>
    <t>54075</t>
  </si>
  <si>
    <t>54455.07</t>
  </si>
  <si>
    <t>108.15</t>
  </si>
  <si>
    <t>271.92</t>
  </si>
  <si>
    <t>22085</t>
  </si>
  <si>
    <t>34121.325</t>
  </si>
  <si>
    <t>34361.51765</t>
  </si>
  <si>
    <t>68.24265</t>
  </si>
  <si>
    <t>171.95</t>
  </si>
  <si>
    <t>15775</t>
  </si>
  <si>
    <t>1.56</t>
  </si>
  <si>
    <t>24609</t>
  </si>
  <si>
    <t>24782.508</t>
  </si>
  <si>
    <t>49.218</t>
  </si>
  <si>
    <t>124.29</t>
  </si>
  <si>
    <t>4822</t>
  </si>
  <si>
    <t>7064.23</t>
  </si>
  <si>
    <t>7078.35846</t>
  </si>
  <si>
    <t>14.12846</t>
  </si>
  <si>
    <t>000126</t>
  </si>
  <si>
    <t xml:space="preserve"> GB0030026057</t>
  </si>
  <si>
    <t>218.3</t>
  </si>
  <si>
    <t>218.7366</t>
  </si>
  <si>
    <t>0.4366</t>
  </si>
  <si>
    <t>000127</t>
  </si>
  <si>
    <t>9225</t>
  </si>
  <si>
    <t>14391</t>
  </si>
  <si>
    <t>14492.882</t>
  </si>
  <si>
    <t>28.782</t>
  </si>
  <si>
    <t>73.1</t>
  </si>
  <si>
    <t>000128</t>
  </si>
  <si>
    <t>12915</t>
  </si>
  <si>
    <t>19953.675</t>
  </si>
  <si>
    <t>20094.56235</t>
  </si>
  <si>
    <t>39.90735</t>
  </si>
  <si>
    <t>100.97</t>
  </si>
  <si>
    <t>34452.6</t>
  </si>
  <si>
    <t>34695.1152</t>
  </si>
  <si>
    <t>68.9052</t>
  </si>
  <si>
    <t>173.61</t>
  </si>
  <si>
    <t>000129</t>
  </si>
  <si>
    <t>7325</t>
  </si>
  <si>
    <t>7339.65</t>
  </si>
  <si>
    <t>14.65</t>
  </si>
  <si>
    <t>000130</t>
  </si>
  <si>
    <t>20147.4</t>
  </si>
  <si>
    <t>20289.6348</t>
  </si>
  <si>
    <t>40.2948</t>
  </si>
  <si>
    <t>101.94</t>
  </si>
  <si>
    <t>000131</t>
  </si>
  <si>
    <t>3.319</t>
  </si>
  <si>
    <t>37172.8</t>
  </si>
  <si>
    <t>37209.9728</t>
  </si>
  <si>
    <t>37.1728</t>
  </si>
  <si>
    <t>000132</t>
  </si>
  <si>
    <t>9220</t>
  </si>
  <si>
    <t>11.5</t>
  </si>
  <si>
    <t>106030</t>
  </si>
  <si>
    <t>106774.27</t>
  </si>
  <si>
    <t>212.06</t>
  </si>
  <si>
    <t>532.21</t>
  </si>
  <si>
    <t>26055</t>
  </si>
  <si>
    <t>1.575</t>
  </si>
  <si>
    <t>41036.625</t>
  </si>
  <si>
    <t>41325.28825</t>
  </si>
  <si>
    <t>82.07325</t>
  </si>
  <si>
    <t>206.59</t>
  </si>
  <si>
    <t>000133</t>
  </si>
  <si>
    <t>1520</t>
  </si>
  <si>
    <t>17480</t>
  </si>
  <si>
    <t>17603.53</t>
  </si>
  <si>
    <t>34.96</t>
  </si>
  <si>
    <t>88.57</t>
  </si>
  <si>
    <t>000134</t>
  </si>
  <si>
    <t>15237</t>
  </si>
  <si>
    <t>23998.275</t>
  </si>
  <si>
    <t>24167.51155</t>
  </si>
  <si>
    <t>47.99655</t>
  </si>
  <si>
    <t>121.23</t>
  </si>
  <si>
    <t>000546</t>
  </si>
  <si>
    <t>GB00BJLPH056</t>
  </si>
  <si>
    <t>Argentex Group PLC</t>
  </si>
  <si>
    <t>4320949</t>
  </si>
  <si>
    <t>1.06</t>
  </si>
  <si>
    <t>4580205.94</t>
  </si>
  <si>
    <t>624415</t>
  </si>
  <si>
    <t>661879.9</t>
  </si>
  <si>
    <t>54636</t>
  </si>
  <si>
    <t>57914.16</t>
  </si>
  <si>
    <t>B</t>
  </si>
  <si>
    <t>DUMMY</t>
  </si>
  <si>
    <t>THE LAKES DISTILLERY COMPANY PLC</t>
  </si>
  <si>
    <t>000547</t>
  </si>
  <si>
    <t>BJLPH05</t>
  </si>
  <si>
    <t>000137</t>
  </si>
  <si>
    <t>000551</t>
  </si>
  <si>
    <t>1007011</t>
  </si>
  <si>
    <t>5011</t>
  </si>
  <si>
    <t>000552</t>
  </si>
  <si>
    <t>608319</t>
  </si>
  <si>
    <t>612584.318</t>
  </si>
  <si>
    <t>1216.638</t>
  </si>
  <si>
    <t>3048.68</t>
  </si>
  <si>
    <t>312546</t>
  </si>
  <si>
    <t>314737.952</t>
  </si>
  <si>
    <t>625.092</t>
  </si>
  <si>
    <t>1566.86</t>
  </si>
  <si>
    <t>000138</t>
  </si>
  <si>
    <t>26000</t>
  </si>
  <si>
    <t>26183.26</t>
  </si>
  <si>
    <t>52</t>
  </si>
  <si>
    <t>131.26</t>
  </si>
  <si>
    <t>000554</t>
  </si>
  <si>
    <t>2069000</t>
  </si>
  <si>
    <t>000140</t>
  </si>
  <si>
    <t>53200</t>
  </si>
  <si>
    <t>000555</t>
  </si>
  <si>
    <t>12500</t>
  </si>
  <si>
    <t>2.72</t>
  </si>
  <si>
    <t>34000</t>
  </si>
  <si>
    <t>33931</t>
  </si>
  <si>
    <t>68</t>
  </si>
  <si>
    <t>000556</t>
  </si>
  <si>
    <t>27200</t>
  </si>
  <si>
    <t>27144.6</t>
  </si>
  <si>
    <t>54.4</t>
  </si>
  <si>
    <t>000557</t>
  </si>
  <si>
    <t>2.76</t>
  </si>
  <si>
    <t>55200</t>
  </si>
  <si>
    <t>55088.6</t>
  </si>
  <si>
    <t>110.4</t>
  </si>
  <si>
    <t>000558</t>
  </si>
  <si>
    <t>68750</t>
  </si>
  <si>
    <t>68611.5</t>
  </si>
  <si>
    <t>137.5</t>
  </si>
  <si>
    <t>91742</t>
  </si>
  <si>
    <t>1.9665</t>
  </si>
  <si>
    <t>180410.643</t>
  </si>
  <si>
    <t>180048.8217</t>
  </si>
  <si>
    <t>360.821286</t>
  </si>
  <si>
    <t>000142</t>
  </si>
  <si>
    <t>8258</t>
  </si>
  <si>
    <t>16239.357</t>
  </si>
  <si>
    <t>16205.87829</t>
  </si>
  <si>
    <t>32.478714</t>
  </si>
  <si>
    <t>50</t>
  </si>
  <si>
    <t>235000</t>
  </si>
  <si>
    <t>234529</t>
  </si>
  <si>
    <t>470</t>
  </si>
  <si>
    <t>000559</t>
  </si>
  <si>
    <t>27600</t>
  </si>
  <si>
    <t>27543.8</t>
  </si>
  <si>
    <t>55.2</t>
  </si>
  <si>
    <t>000560</t>
  </si>
  <si>
    <t>69000</t>
  </si>
  <si>
    <t>68861</t>
  </si>
  <si>
    <t>138</t>
  </si>
  <si>
    <t>000561</t>
  </si>
  <si>
    <t>3.95</t>
  </si>
  <si>
    <t>1777500</t>
  </si>
  <si>
    <t>1773944</t>
  </si>
  <si>
    <t>3555</t>
  </si>
  <si>
    <t>000562</t>
  </si>
  <si>
    <t>108000</t>
  </si>
  <si>
    <t>107783</t>
  </si>
  <si>
    <t>216</t>
  </si>
  <si>
    <t>000563</t>
  </si>
  <si>
    <t>60000</t>
  </si>
  <si>
    <t>162000</t>
  </si>
  <si>
    <t>161675</t>
  </si>
  <si>
    <t>324</t>
  </si>
  <si>
    <t>000564</t>
  </si>
  <si>
    <t>67500</t>
  </si>
  <si>
    <t>67364</t>
  </si>
  <si>
    <t>135</t>
  </si>
  <si>
    <t>000565</t>
  </si>
  <si>
    <t>000566</t>
  </si>
  <si>
    <t>295000</t>
  </si>
  <si>
    <t>294409</t>
  </si>
  <si>
    <t>590</t>
  </si>
  <si>
    <t>000567</t>
  </si>
  <si>
    <t>5.91</t>
  </si>
  <si>
    <t>591000</t>
  </si>
  <si>
    <t>589817</t>
  </si>
  <si>
    <t>1182</t>
  </si>
  <si>
    <t>000568</t>
  </si>
  <si>
    <t>354600</t>
  </si>
  <si>
    <t>353889.8</t>
  </si>
  <si>
    <t>709.2</t>
  </si>
  <si>
    <t>000569</t>
  </si>
  <si>
    <t>3889</t>
  </si>
  <si>
    <t>2.742</t>
  </si>
  <si>
    <t>10663.638</t>
  </si>
  <si>
    <t>10641.31072</t>
  </si>
  <si>
    <t>21.327276</t>
  </si>
  <si>
    <t>000570</t>
  </si>
  <si>
    <t>89100</t>
  </si>
  <si>
    <t>88920.8</t>
  </si>
  <si>
    <t>178.2</t>
  </si>
  <si>
    <t>000143</t>
  </si>
  <si>
    <t>1.16</t>
  </si>
  <si>
    <t>6380</t>
  </si>
  <si>
    <t>6392.76</t>
  </si>
  <si>
    <t>12.76</t>
  </si>
  <si>
    <t>000571</t>
  </si>
  <si>
    <t>21600</t>
  </si>
  <si>
    <t>21555.8</t>
  </si>
  <si>
    <t>43.2</t>
  </si>
  <si>
    <t>000572</t>
  </si>
  <si>
    <t>2.74</t>
  </si>
  <si>
    <t>68500</t>
  </si>
  <si>
    <t>68362</t>
  </si>
  <si>
    <t>137</t>
  </si>
  <si>
    <t>35208</t>
  </si>
  <si>
    <t>35279.416</t>
  </si>
  <si>
    <t>70.416</t>
  </si>
  <si>
    <t>000573</t>
  </si>
  <si>
    <t>BD6P7Y2</t>
  </si>
  <si>
    <t>GB00BD6P7Y24</t>
  </si>
  <si>
    <t>FRANCHISE BRANDS PLC</t>
  </si>
  <si>
    <t>105000</t>
  </si>
  <si>
    <t>87150</t>
  </si>
  <si>
    <t>87325.3</t>
  </si>
  <si>
    <t>174.3</t>
  </si>
  <si>
    <t>000574</t>
  </si>
  <si>
    <t xml:space="preserve"> BFYF629</t>
  </si>
  <si>
    <t>2.8238462</t>
  </si>
  <si>
    <t>183550.003</t>
  </si>
  <si>
    <t>183181.903</t>
  </si>
  <si>
    <t>367.100006</t>
  </si>
  <si>
    <t>3700</t>
  </si>
  <si>
    <t>7992</t>
  </si>
  <si>
    <t>8007.984</t>
  </si>
  <si>
    <t>15.984</t>
  </si>
  <si>
    <t>000575</t>
  </si>
  <si>
    <t>2.82</t>
  </si>
  <si>
    <t>28200</t>
  </si>
  <si>
    <t>28142.6</t>
  </si>
  <si>
    <t>56.4</t>
  </si>
  <si>
    <t>000576</t>
  </si>
  <si>
    <t>13700</t>
  </si>
  <si>
    <t>13671.6</t>
  </si>
  <si>
    <t>27.4</t>
  </si>
  <si>
    <t>000577</t>
  </si>
  <si>
    <t xml:space="preserve"> BYX1P35</t>
  </si>
  <si>
    <t>57000</t>
  </si>
  <si>
    <t>123120</t>
  </si>
  <si>
    <t>123367.24</t>
  </si>
  <si>
    <t>246.24</t>
  </si>
  <si>
    <t>000578</t>
  </si>
  <si>
    <t>564000</t>
  </si>
  <si>
    <t>562871</t>
  </si>
  <si>
    <t>1128</t>
  </si>
  <si>
    <t>000579</t>
  </si>
  <si>
    <t>27400</t>
  </si>
  <si>
    <t>27344.2</t>
  </si>
  <si>
    <t>54.8</t>
  </si>
  <si>
    <t>13000</t>
  </si>
  <si>
    <t>28080</t>
  </si>
  <si>
    <t>28137.16</t>
  </si>
  <si>
    <t>56.16</t>
  </si>
  <si>
    <t>000580</t>
  </si>
  <si>
    <t>000581</t>
  </si>
  <si>
    <t>650000</t>
  </si>
  <si>
    <t>3.25</t>
  </si>
  <si>
    <t>2112500</t>
  </si>
  <si>
    <t>2108274</t>
  </si>
  <si>
    <t>4225</t>
  </si>
  <si>
    <t>000582</t>
  </si>
  <si>
    <t>75000</t>
  </si>
  <si>
    <t>1.6</t>
  </si>
  <si>
    <t>120000</t>
  </si>
  <si>
    <t>119759</t>
  </si>
  <si>
    <t>240</t>
  </si>
  <si>
    <t>000583</t>
  </si>
  <si>
    <t xml:space="preserve"> B196F55</t>
  </si>
  <si>
    <t>2.725</t>
  </si>
  <si>
    <t>136250</t>
  </si>
  <si>
    <t>135976.5</t>
  </si>
  <si>
    <t>272.5</t>
  </si>
  <si>
    <t>000144</t>
  </si>
  <si>
    <t>000584</t>
  </si>
  <si>
    <t>2.73</t>
  </si>
  <si>
    <t>2457000</t>
  </si>
  <si>
    <t>2452085</t>
  </si>
  <si>
    <t>4914</t>
  </si>
  <si>
    <t>000585</t>
  </si>
  <si>
    <t>168200</t>
  </si>
  <si>
    <t>167862.6</t>
  </si>
  <si>
    <t>336.4</t>
  </si>
  <si>
    <t>000586</t>
  </si>
  <si>
    <t>BF3SQB8</t>
  </si>
  <si>
    <t>GB00BF3SQB83</t>
  </si>
  <si>
    <t>MIND GYM PLC</t>
  </si>
  <si>
    <t>1.18</t>
  </si>
  <si>
    <t>59000</t>
  </si>
  <si>
    <t>58881</t>
  </si>
  <si>
    <t>118</t>
  </si>
  <si>
    <t>000587</t>
  </si>
  <si>
    <t>370000</t>
  </si>
  <si>
    <t>436600</t>
  </si>
  <si>
    <t>435725.8</t>
  </si>
  <si>
    <t>873.2</t>
  </si>
  <si>
    <t>000588</t>
  </si>
  <si>
    <t>000589</t>
  </si>
  <si>
    <t>000590</t>
  </si>
  <si>
    <t>639761</t>
  </si>
  <si>
    <t>1740149.92</t>
  </si>
  <si>
    <t>1736668.62</t>
  </si>
  <si>
    <t>3480.29984</t>
  </si>
  <si>
    <t>000591</t>
  </si>
  <si>
    <t>2.7175</t>
  </si>
  <si>
    <t>108700</t>
  </si>
  <si>
    <t>108481.6</t>
  </si>
  <si>
    <t>217.4</t>
  </si>
  <si>
    <t>000145</t>
  </si>
  <si>
    <t>33300</t>
  </si>
  <si>
    <t>1.595</t>
  </si>
  <si>
    <t>53113.5</t>
  </si>
  <si>
    <t>53486.827</t>
  </si>
  <si>
    <t>106.227</t>
  </si>
  <si>
    <t>267.1</t>
  </si>
  <si>
    <t>000146</t>
  </si>
  <si>
    <t>THE VITEC GROUP PLC</t>
  </si>
  <si>
    <t>2200</t>
  </si>
  <si>
    <t>10.75</t>
  </si>
  <si>
    <t>23650</t>
  </si>
  <si>
    <t>23816.79</t>
  </si>
  <si>
    <t>47.3</t>
  </si>
  <si>
    <t>119.49</t>
  </si>
  <si>
    <t>000147</t>
  </si>
  <si>
    <t>1.88</t>
  </si>
  <si>
    <t>34780</t>
  </si>
  <si>
    <t>34850.56</t>
  </si>
  <si>
    <t>69.56</t>
  </si>
  <si>
    <t>000592</t>
  </si>
  <si>
    <t>480000</t>
  </si>
  <si>
    <t>1.0979167</t>
  </si>
  <si>
    <t>527000.016</t>
  </si>
  <si>
    <t>530695.286</t>
  </si>
  <si>
    <t>1054.000032</t>
  </si>
  <si>
    <t>2641.27</t>
  </si>
  <si>
    <t>118575.0036</t>
  </si>
  <si>
    <t>119407.2136</t>
  </si>
  <si>
    <t>237.1500072</t>
  </si>
  <si>
    <t>595.06</t>
  </si>
  <si>
    <t>000148</t>
  </si>
  <si>
    <t>4000</t>
  </si>
  <si>
    <t>4</t>
  </si>
  <si>
    <t>16000</t>
  </si>
  <si>
    <t>15967</t>
  </si>
  <si>
    <t>32</t>
  </si>
  <si>
    <t>000149</t>
  </si>
  <si>
    <t>13175.0004</t>
  </si>
  <si>
    <t>13268.3604</t>
  </si>
  <si>
    <t>26.3500008</t>
  </si>
  <si>
    <t>67.01</t>
  </si>
  <si>
    <t>000150</t>
  </si>
  <si>
    <t>3.99</t>
  </si>
  <si>
    <t>19950</t>
  </si>
  <si>
    <t>19909.1</t>
  </si>
  <si>
    <t>39.9</t>
  </si>
  <si>
    <t>000593</t>
  </si>
  <si>
    <t>BYZFM56</t>
  </si>
  <si>
    <t>GB00BYZFM569</t>
  </si>
  <si>
    <t>ORCHARD FUNDING GROUP PLC</t>
  </si>
  <si>
    <t>729370</t>
  </si>
  <si>
    <t>0.7</t>
  </si>
  <si>
    <t>510559</t>
  </si>
  <si>
    <t>511581.118</t>
  </si>
  <si>
    <t>1021.118</t>
  </si>
  <si>
    <t>70630</t>
  </si>
  <si>
    <t>49441</t>
  </si>
  <si>
    <t>49540.882</t>
  </si>
  <si>
    <t>98.882</t>
  </si>
  <si>
    <t>000594</t>
  </si>
  <si>
    <t>7.875</t>
  </si>
  <si>
    <t>78750</t>
  </si>
  <si>
    <t>78591.5</t>
  </si>
  <si>
    <t>157.5</t>
  </si>
  <si>
    <t>LF Gresham House UK Micro Cap Fund</t>
  </si>
  <si>
    <t>0000594</t>
  </si>
  <si>
    <t>Equity</t>
  </si>
  <si>
    <t>MIND</t>
  </si>
  <si>
    <t>S</t>
  </si>
  <si>
    <t>1292329</t>
  </si>
  <si>
    <t>120</t>
  </si>
  <si>
    <t>1550794.8</t>
  </si>
  <si>
    <t>3101.59</t>
  </si>
  <si>
    <t>1547692.21</t>
  </si>
  <si>
    <t>LF Gresham House UK Smaller Companies Fund</t>
  </si>
  <si>
    <t>3513</t>
  </si>
  <si>
    <t>PEELHUNT</t>
  </si>
  <si>
    <t>GAW</t>
  </si>
  <si>
    <t>315</t>
  </si>
  <si>
    <t>4390.3175</t>
  </si>
  <si>
    <t>13829.5</t>
  </si>
  <si>
    <t>27.66</t>
  </si>
  <si>
    <t>13800.84</t>
  </si>
  <si>
    <t>3510</t>
  </si>
  <si>
    <t>ERGO</t>
  </si>
  <si>
    <t>7800</t>
  </si>
  <si>
    <t>25038</t>
  </si>
  <si>
    <t>50.08</t>
  </si>
  <si>
    <t>24986.92</t>
  </si>
  <si>
    <t>3530</t>
  </si>
  <si>
    <t>STAF</t>
  </si>
  <si>
    <t>82086</t>
  </si>
  <si>
    <t>1.5</t>
  </si>
  <si>
    <t>123129</t>
  </si>
  <si>
    <t>122881.74</t>
  </si>
  <si>
    <t>246.26</t>
  </si>
  <si>
    <t>3527</t>
  </si>
  <si>
    <t>0299819</t>
  </si>
  <si>
    <t>GB0002998192</t>
  </si>
  <si>
    <t>IDOX</t>
  </si>
  <si>
    <t>0.2895</t>
  </si>
  <si>
    <t>31845</t>
  </si>
  <si>
    <t>31780.31</t>
  </si>
  <si>
    <t>63.69</t>
  </si>
  <si>
    <t>3560</t>
  </si>
  <si>
    <t>SBRE</t>
  </si>
  <si>
    <t>69669</t>
  </si>
  <si>
    <t>186016.23</t>
  </si>
  <si>
    <t>187321.2</t>
  </si>
  <si>
    <t>372.03</t>
  </si>
  <si>
    <t>932.94</t>
  </si>
  <si>
    <t>3553</t>
  </si>
  <si>
    <t>2.645</t>
  </si>
  <si>
    <t>92575</t>
  </si>
  <si>
    <t>93224.95</t>
  </si>
  <si>
    <t>185.15</t>
  </si>
  <si>
    <t>464.8</t>
  </si>
  <si>
    <t>3553/02</t>
  </si>
  <si>
    <t>0001</t>
  </si>
  <si>
    <t>GB00BK63S759</t>
  </si>
  <si>
    <t>BRICKABILITY GROUP PLC</t>
  </si>
  <si>
    <t>3388899</t>
  </si>
  <si>
    <t>0.65</t>
  </si>
  <si>
    <t>2202784.35</t>
  </si>
  <si>
    <t>3595</t>
  </si>
  <si>
    <t>NFC</t>
  </si>
  <si>
    <t>18910</t>
  </si>
  <si>
    <t>5.920127</t>
  </si>
  <si>
    <t>111949.6</t>
  </si>
  <si>
    <t>111724.7</t>
  </si>
  <si>
    <t>223.9</t>
  </si>
  <si>
    <t>0002</t>
  </si>
  <si>
    <t>71101</t>
  </si>
  <si>
    <t>46215.65</t>
  </si>
  <si>
    <t>0003</t>
  </si>
  <si>
    <t>AFM</t>
  </si>
  <si>
    <t>1.99</t>
  </si>
  <si>
    <t>29850</t>
  </si>
  <si>
    <t>29910.7</t>
  </si>
  <si>
    <t>59.7</t>
  </si>
  <si>
    <t>3621</t>
  </si>
  <si>
    <t>WINTERFLOO</t>
  </si>
  <si>
    <t>SFOR</t>
  </si>
  <si>
    <t>15500</t>
  </si>
  <si>
    <t>1.43</t>
  </si>
  <si>
    <t>22165</t>
  </si>
  <si>
    <t>22321.38</t>
  </si>
  <si>
    <t>44.33</t>
  </si>
  <si>
    <t>112.05</t>
  </si>
  <si>
    <t>3624</t>
  </si>
  <si>
    <t>CLL</t>
  </si>
  <si>
    <t>35500</t>
  </si>
  <si>
    <t>45440</t>
  </si>
  <si>
    <t>45531.88</t>
  </si>
  <si>
    <t>90.88</t>
  </si>
  <si>
    <t>0004</t>
  </si>
  <si>
    <t>9950</t>
  </si>
  <si>
    <t>9969.9</t>
  </si>
  <si>
    <t>19.9</t>
  </si>
  <si>
    <t>0005</t>
  </si>
  <si>
    <t>11.8</t>
  </si>
  <si>
    <t>11.78</t>
  </si>
  <si>
    <t>0.02</t>
  </si>
  <si>
    <t>BK63S75</t>
  </si>
  <si>
    <t>0006</t>
  </si>
  <si>
    <t>KGH</t>
  </si>
  <si>
    <t>55000</t>
  </si>
  <si>
    <t>3.11</t>
  </si>
  <si>
    <t>171050</t>
  </si>
  <si>
    <t>170706.9</t>
  </si>
  <si>
    <t>342.1</t>
  </si>
  <si>
    <t>0007</t>
  </si>
  <si>
    <t>XPS</t>
  </si>
  <si>
    <t>70021</t>
  </si>
  <si>
    <t>81224.36</t>
  </si>
  <si>
    <t>81794.73872</t>
  </si>
  <si>
    <t>162.44872</t>
  </si>
  <si>
    <t>407.93</t>
  </si>
  <si>
    <t>0008</t>
  </si>
  <si>
    <t>3745</t>
  </si>
  <si>
    <t>5.95</t>
  </si>
  <si>
    <t>17.85</t>
  </si>
  <si>
    <t>17.81</t>
  </si>
  <si>
    <t>3773</t>
  </si>
  <si>
    <t>30000</t>
  </si>
  <si>
    <t>2.0409</t>
  </si>
  <si>
    <t>61227</t>
  </si>
  <si>
    <t>61350.45</t>
  </si>
  <si>
    <t>122.45</t>
  </si>
  <si>
    <t>3771</t>
  </si>
  <si>
    <t>CLG</t>
  </si>
  <si>
    <t>69312</t>
  </si>
  <si>
    <t>2.165</t>
  </si>
  <si>
    <t>150060.48</t>
  </si>
  <si>
    <t>151113.4</t>
  </si>
  <si>
    <t>300.12</t>
  </si>
  <si>
    <t>752.8</t>
  </si>
  <si>
    <t>3756</t>
  </si>
  <si>
    <t>N+SINGER</t>
  </si>
  <si>
    <t>CVSG</t>
  </si>
  <si>
    <t>8.6723</t>
  </si>
  <si>
    <t>17344.6</t>
  </si>
  <si>
    <t>17308.91</t>
  </si>
  <si>
    <t>34.69</t>
  </si>
  <si>
    <t>3787</t>
  </si>
  <si>
    <t>DOM</t>
  </si>
  <si>
    <t>61478</t>
  </si>
  <si>
    <t>2.406</t>
  </si>
  <si>
    <t>147916.07</t>
  </si>
  <si>
    <t>148953.96</t>
  </si>
  <si>
    <t>295.83</t>
  </si>
  <si>
    <t>742.06</t>
  </si>
  <si>
    <t>3797</t>
  </si>
  <si>
    <t>GBG</t>
  </si>
  <si>
    <t>3100</t>
  </si>
  <si>
    <t>5.84</t>
  </si>
  <si>
    <t>18104</t>
  </si>
  <si>
    <t>18066.79</t>
  </si>
  <si>
    <t>36.21</t>
  </si>
  <si>
    <t>44230</t>
  </si>
  <si>
    <t>3.4</t>
  </si>
  <si>
    <t>150382</t>
  </si>
  <si>
    <t>150080.236</t>
  </si>
  <si>
    <t>300.764</t>
  </si>
  <si>
    <t>IMO</t>
  </si>
  <si>
    <t>77333</t>
  </si>
  <si>
    <t>3.3265624</t>
  </si>
  <si>
    <t>257253.0501</t>
  </si>
  <si>
    <t>256737.544</t>
  </si>
  <si>
    <t>514.5061002</t>
  </si>
  <si>
    <t>10150</t>
  </si>
  <si>
    <t>5.83</t>
  </si>
  <si>
    <t>59174.5</t>
  </si>
  <si>
    <t>59055.151</t>
  </si>
  <si>
    <t>118.349</t>
  </si>
  <si>
    <t>3832</t>
  </si>
  <si>
    <t>BRCK</t>
  </si>
  <si>
    <t>97945</t>
  </si>
  <si>
    <t>0.67</t>
  </si>
  <si>
    <t>65623.15</t>
  </si>
  <si>
    <t>65490.9</t>
  </si>
  <si>
    <t>131.25</t>
  </si>
  <si>
    <t>3817</t>
  </si>
  <si>
    <t>16940</t>
  </si>
  <si>
    <t>17059.75</t>
  </si>
  <si>
    <t>33.88</t>
  </si>
  <si>
    <t>85.87</t>
  </si>
  <si>
    <t>3833</t>
  </si>
  <si>
    <t>2055</t>
  </si>
  <si>
    <t>1376.85</t>
  </si>
  <si>
    <t>1374.1</t>
  </si>
  <si>
    <t>3856</t>
  </si>
  <si>
    <t>0.66675</t>
  </si>
  <si>
    <t>65304.82875</t>
  </si>
  <si>
    <t>65174.21909</t>
  </si>
  <si>
    <t>130.6096575</t>
  </si>
  <si>
    <t>3857</t>
  </si>
  <si>
    <t>1370.17125</t>
  </si>
  <si>
    <t>1367.430907</t>
  </si>
  <si>
    <t>2.7403425</t>
  </si>
  <si>
    <t>3856.1</t>
  </si>
  <si>
    <t>65173.21909</t>
  </si>
  <si>
    <t>0009</t>
  </si>
  <si>
    <t>GYM</t>
  </si>
  <si>
    <t>142288</t>
  </si>
  <si>
    <t>2.521111</t>
  </si>
  <si>
    <t>358723.842</t>
  </si>
  <si>
    <t>361239.4997</t>
  </si>
  <si>
    <t>717.4476839</t>
  </si>
  <si>
    <t>1798.21</t>
  </si>
  <si>
    <t>0010</t>
  </si>
  <si>
    <t>200638</t>
  </si>
  <si>
    <t>2.10778</t>
  </si>
  <si>
    <t>422900.7636</t>
  </si>
  <si>
    <t>423747.5552</t>
  </si>
  <si>
    <t>845.8015273</t>
  </si>
  <si>
    <t>0011</t>
  </si>
  <si>
    <t>111639</t>
  </si>
  <si>
    <t>232209.12</t>
  </si>
  <si>
    <t>232674.5382</t>
  </si>
  <si>
    <t>464.41824</t>
  </si>
  <si>
    <t>3972</t>
  </si>
  <si>
    <t>IGR</t>
  </si>
  <si>
    <t>5.96</t>
  </si>
  <si>
    <t>452960</t>
  </si>
  <si>
    <t>452053.08</t>
  </si>
  <si>
    <t>905.92</t>
  </si>
  <si>
    <t>3977</t>
  </si>
  <si>
    <t>KETL</t>
  </si>
  <si>
    <t>1.65</t>
  </si>
  <si>
    <t>107250</t>
  </si>
  <si>
    <t>107465.5</t>
  </si>
  <si>
    <t>214.5</t>
  </si>
  <si>
    <t>4009</t>
  </si>
  <si>
    <t>5.97</t>
  </si>
  <si>
    <t>298500</t>
  </si>
  <si>
    <t>297902</t>
  </si>
  <si>
    <t>597</t>
  </si>
  <si>
    <t>4014</t>
  </si>
  <si>
    <t>5.99</t>
  </si>
  <si>
    <t>599000</t>
  </si>
  <si>
    <t>597801</t>
  </si>
  <si>
    <t>1198</t>
  </si>
  <si>
    <t>0012</t>
  </si>
  <si>
    <t>107712</t>
  </si>
  <si>
    <t>2.52</t>
  </si>
  <si>
    <t>271434.24</t>
  </si>
  <si>
    <t>273337.9985</t>
  </si>
  <si>
    <t>542.86848</t>
  </si>
  <si>
    <t>1360.89</t>
  </si>
  <si>
    <t>4036</t>
  </si>
  <si>
    <t>31000</t>
  </si>
  <si>
    <t>5.98</t>
  </si>
  <si>
    <t>185380</t>
  </si>
  <si>
    <t>185008.24</t>
  </si>
  <si>
    <t>370.76</t>
  </si>
  <si>
    <t>4078</t>
  </si>
  <si>
    <t>82000</t>
  </si>
  <si>
    <t>490360</t>
  </si>
  <si>
    <t>489378.28</t>
  </si>
  <si>
    <t>980.72</t>
  </si>
  <si>
    <t>0013</t>
  </si>
  <si>
    <t>252000</t>
  </si>
  <si>
    <t>253767.52</t>
  </si>
  <si>
    <t>504</t>
  </si>
  <si>
    <t>1263.52</t>
  </si>
  <si>
    <t>4107</t>
  </si>
  <si>
    <t>358500</t>
  </si>
  <si>
    <t>2143830</t>
  </si>
  <si>
    <t>2139541.34</t>
  </si>
  <si>
    <t>4287.66</t>
  </si>
  <si>
    <t>4110</t>
  </si>
  <si>
    <t>B61D1Y0</t>
  </si>
  <si>
    <t>GB00B61D1Y04</t>
  </si>
  <si>
    <t>EMIS</t>
  </si>
  <si>
    <t>10.722128</t>
  </si>
  <si>
    <t>589717.04</t>
  </si>
  <si>
    <t>590897.47</t>
  </si>
  <si>
    <t>1179.43</t>
  </si>
  <si>
    <t>0014</t>
  </si>
  <si>
    <t>3.1217778</t>
  </si>
  <si>
    <t>140480.001</t>
  </si>
  <si>
    <t>140198.041</t>
  </si>
  <si>
    <t>280.960002</t>
  </si>
  <si>
    <t>0015</t>
  </si>
  <si>
    <t>81549</t>
  </si>
  <si>
    <t>2.520536</t>
  </si>
  <si>
    <t>205547.1903</t>
  </si>
  <si>
    <t>206989.0746</t>
  </si>
  <si>
    <t>411.0943805</t>
  </si>
  <si>
    <t>1030.79</t>
  </si>
  <si>
    <t>4171</t>
  </si>
  <si>
    <t>14819</t>
  </si>
  <si>
    <t>37343.88</t>
  </si>
  <si>
    <t>37606.66</t>
  </si>
  <si>
    <t>74.69</t>
  </si>
  <si>
    <t>188.09</t>
  </si>
  <si>
    <t>0016</t>
  </si>
  <si>
    <t>ARE</t>
  </si>
  <si>
    <t>2396517</t>
  </si>
  <si>
    <t>0.1823333</t>
  </si>
  <si>
    <t>436964.93</t>
  </si>
  <si>
    <t>436090.0001</t>
  </si>
  <si>
    <t>873.92986</t>
  </si>
  <si>
    <t>4198</t>
  </si>
  <si>
    <t>1677562</t>
  </si>
  <si>
    <t>0.175</t>
  </si>
  <si>
    <t>293573.35</t>
  </si>
  <si>
    <t>292985.2</t>
  </si>
  <si>
    <t>587.15</t>
  </si>
  <si>
    <t>4219</t>
  </si>
  <si>
    <t>8415773</t>
  </si>
  <si>
    <t>1472760.28</t>
  </si>
  <si>
    <t>1469813.76</t>
  </si>
  <si>
    <t>2945.52</t>
  </si>
  <si>
    <t>0017</t>
  </si>
  <si>
    <t>603483</t>
  </si>
  <si>
    <t>110035.07</t>
  </si>
  <si>
    <t>109813.9999</t>
  </si>
  <si>
    <t>220.07014</t>
  </si>
  <si>
    <t>4199</t>
  </si>
  <si>
    <t>422438</t>
  </si>
  <si>
    <t>73926.65</t>
  </si>
  <si>
    <t>73777.8</t>
  </si>
  <si>
    <t>147.85</t>
  </si>
  <si>
    <t>4220</t>
  </si>
  <si>
    <t>2119227</t>
  </si>
  <si>
    <t>370864.73</t>
  </si>
  <si>
    <t>370122</t>
  </si>
  <si>
    <t>741.73</t>
  </si>
  <si>
    <t>4247</t>
  </si>
  <si>
    <t>352056</t>
  </si>
  <si>
    <t>1052647.44</t>
  </si>
  <si>
    <t>1054753.73</t>
  </si>
  <si>
    <t>2105.29</t>
  </si>
  <si>
    <t>0018</t>
  </si>
  <si>
    <t>553632</t>
  </si>
  <si>
    <t>2.539538</t>
  </si>
  <si>
    <t>1405969.502</t>
  </si>
  <si>
    <t>1415826.351</t>
  </si>
  <si>
    <t>2811.939004</t>
  </si>
  <si>
    <t>7044.91</t>
  </si>
  <si>
    <t>4248</t>
  </si>
  <si>
    <t>9384</t>
  </si>
  <si>
    <t>28058.16</t>
  </si>
  <si>
    <t>28115.28</t>
  </si>
  <si>
    <t>56.12</t>
  </si>
  <si>
    <t>4295</t>
  </si>
  <si>
    <t>B0188P3</t>
  </si>
  <si>
    <t>GB00B0188P35</t>
  </si>
  <si>
    <t>BRY</t>
  </si>
  <si>
    <t>2258601</t>
  </si>
  <si>
    <t>45172.02</t>
  </si>
  <si>
    <t>45080.68</t>
  </si>
  <si>
    <t>90.34</t>
  </si>
  <si>
    <t>4298</t>
  </si>
  <si>
    <t>SHORECAP</t>
  </si>
  <si>
    <t>INSE</t>
  </si>
  <si>
    <t>5241821</t>
  </si>
  <si>
    <t>786273.15</t>
  </si>
  <si>
    <t>787846.7</t>
  </si>
  <si>
    <t>1572.55</t>
  </si>
  <si>
    <t>4299</t>
  </si>
  <si>
    <t>996945</t>
  </si>
  <si>
    <t>149541.75</t>
  </si>
  <si>
    <t>149841.83</t>
  </si>
  <si>
    <t>299.08</t>
  </si>
  <si>
    <t>4300</t>
  </si>
  <si>
    <t>80036</t>
  </si>
  <si>
    <t>12005.4</t>
  </si>
  <si>
    <t>12030.41</t>
  </si>
  <si>
    <t>24.01</t>
  </si>
  <si>
    <t>0019</t>
  </si>
  <si>
    <t>9.855</t>
  </si>
  <si>
    <t>21188.25</t>
  </si>
  <si>
    <t>21144.8735</t>
  </si>
  <si>
    <t>42.3765</t>
  </si>
  <si>
    <t>0020</t>
  </si>
  <si>
    <t>385482</t>
  </si>
  <si>
    <t>2.5361</t>
  </si>
  <si>
    <t>977620.9002</t>
  </si>
  <si>
    <t>984475.022</t>
  </si>
  <si>
    <t>1955.2418</t>
  </si>
  <si>
    <t>4898.88</t>
  </si>
  <si>
    <t>4538</t>
  </si>
  <si>
    <t>B4QVDF0</t>
  </si>
  <si>
    <t>GB00B4QVDF07</t>
  </si>
  <si>
    <t>BVXP</t>
  </si>
  <si>
    <t>31.65</t>
  </si>
  <si>
    <t>158250</t>
  </si>
  <si>
    <t>158567.5</t>
  </si>
  <si>
    <t>316.5</t>
  </si>
  <si>
    <t>4536</t>
  </si>
  <si>
    <t>462136</t>
  </si>
  <si>
    <t>1.42</t>
  </si>
  <si>
    <t>656233.12</t>
  </si>
  <si>
    <t>0021</t>
  </si>
  <si>
    <t>221550</t>
  </si>
  <si>
    <t>221994.1</t>
  </si>
  <si>
    <t>443.1</t>
  </si>
  <si>
    <t>0022</t>
  </si>
  <si>
    <t>500</t>
  </si>
  <si>
    <t>15825</t>
  </si>
  <si>
    <t>15857.65</t>
  </si>
  <si>
    <t>4614</t>
  </si>
  <si>
    <t>AGFX</t>
  </si>
  <si>
    <t>129728</t>
  </si>
  <si>
    <t>1.54</t>
  </si>
  <si>
    <t>199781.12</t>
  </si>
  <si>
    <t>199380.56</t>
  </si>
  <si>
    <t>399.56</t>
  </si>
  <si>
    <t>4615</t>
  </si>
  <si>
    <t>90272</t>
  </si>
  <si>
    <t>139018.88</t>
  </si>
  <si>
    <t>138739.84</t>
  </si>
  <si>
    <t>278.04</t>
  </si>
  <si>
    <t>4626</t>
  </si>
  <si>
    <t>9850</t>
  </si>
  <si>
    <t>9.544036</t>
  </si>
  <si>
    <t>94008.75</t>
  </si>
  <si>
    <t>93819.73</t>
  </si>
  <si>
    <t>188.02</t>
  </si>
  <si>
    <t>4674</t>
  </si>
  <si>
    <t>20639</t>
  </si>
  <si>
    <t>31784.06</t>
  </si>
  <si>
    <t>31719.49</t>
  </si>
  <si>
    <t>63.57</t>
  </si>
  <si>
    <t>4675</t>
  </si>
  <si>
    <t>14361</t>
  </si>
  <si>
    <t>22115.94</t>
  </si>
  <si>
    <t>22070.71</t>
  </si>
  <si>
    <t>44.23</t>
  </si>
  <si>
    <t>4684</t>
  </si>
  <si>
    <t>117935</t>
  </si>
  <si>
    <t>1.571499</t>
  </si>
  <si>
    <t>185334.73</t>
  </si>
  <si>
    <t>184963.06</t>
  </si>
  <si>
    <t>370.67</t>
  </si>
  <si>
    <t>4685</t>
  </si>
  <si>
    <t>82065</t>
  </si>
  <si>
    <t>128965.07</t>
  </si>
  <si>
    <t>128706.14</t>
  </si>
  <si>
    <t>257.93</t>
  </si>
  <si>
    <t>0023</t>
  </si>
  <si>
    <t>1.64631</t>
  </si>
  <si>
    <t>194157.5699</t>
  </si>
  <si>
    <t>193768.2647</t>
  </si>
  <si>
    <t>388.3051397</t>
  </si>
  <si>
    <t>4689</t>
  </si>
  <si>
    <t>8060571</t>
  </si>
  <si>
    <t>0.14</t>
  </si>
  <si>
    <t>1128479.94</t>
  </si>
  <si>
    <t>1130737.9</t>
  </si>
  <si>
    <t>2256.96</t>
  </si>
  <si>
    <t>0024</t>
  </si>
  <si>
    <t>135104.4302</t>
  </si>
  <si>
    <t>134833.2213</t>
  </si>
  <si>
    <t>270.2088603</t>
  </si>
  <si>
    <t>4690</t>
  </si>
  <si>
    <t>1778177</t>
  </si>
  <si>
    <t>248944.78</t>
  </si>
  <si>
    <t>249443.67</t>
  </si>
  <si>
    <t>497.89</t>
  </si>
  <si>
    <t>4691</t>
  </si>
  <si>
    <t>161252</t>
  </si>
  <si>
    <t>22575.28</t>
  </si>
  <si>
    <t>22621.43</t>
  </si>
  <si>
    <t>45.15</t>
  </si>
  <si>
    <t>176902</t>
  </si>
  <si>
    <t>1.675662</t>
  </si>
  <si>
    <t>296427.9591</t>
  </si>
  <si>
    <t>295834.1032</t>
  </si>
  <si>
    <t>592.8559182</t>
  </si>
  <si>
    <t>123098</t>
  </si>
  <si>
    <t>206270.6409</t>
  </si>
  <si>
    <t>205857.0996</t>
  </si>
  <si>
    <t>412.5412818</t>
  </si>
  <si>
    <t>4810</t>
  </si>
  <si>
    <t>1.712</t>
  </si>
  <si>
    <t>201904.72</t>
  </si>
  <si>
    <t>201499.91</t>
  </si>
  <si>
    <t>403.81</t>
  </si>
  <si>
    <t>4807</t>
  </si>
  <si>
    <t>14742</t>
  </si>
  <si>
    <t>1.72</t>
  </si>
  <si>
    <t>25356.24</t>
  </si>
  <si>
    <t>25304.53</t>
  </si>
  <si>
    <t>50.71</t>
  </si>
  <si>
    <t>4811</t>
  </si>
  <si>
    <t>140495.28</t>
  </si>
  <si>
    <t>140213.29</t>
  </si>
  <si>
    <t>280.99</t>
  </si>
  <si>
    <t>4808</t>
  </si>
  <si>
    <t>10258</t>
  </si>
  <si>
    <t>17643.76</t>
  </si>
  <si>
    <t>17607.47</t>
  </si>
  <si>
    <t>35.29</t>
  </si>
  <si>
    <t>4832</t>
  </si>
  <si>
    <t>48972</t>
  </si>
  <si>
    <t>31831.8</t>
  </si>
  <si>
    <t>31767.14</t>
  </si>
  <si>
    <t>63.66</t>
  </si>
  <si>
    <t>4819</t>
  </si>
  <si>
    <t>FRAN</t>
  </si>
  <si>
    <t>1.04</t>
  </si>
  <si>
    <t>41600</t>
  </si>
  <si>
    <t>41684.2</t>
  </si>
  <si>
    <t>83.2</t>
  </si>
  <si>
    <t>103193</t>
  </si>
  <si>
    <t>1.733429</t>
  </si>
  <si>
    <t>178877.74</t>
  </si>
  <si>
    <t>178518.98</t>
  </si>
  <si>
    <t>357.76</t>
  </si>
  <si>
    <t>4825</t>
  </si>
  <si>
    <t>71807</t>
  </si>
  <si>
    <t>124472.34</t>
  </si>
  <si>
    <t>124222.4</t>
  </si>
  <si>
    <t>248.94</t>
  </si>
  <si>
    <t>4833</t>
  </si>
  <si>
    <t>1028</t>
  </si>
  <si>
    <t>668.2</t>
  </si>
  <si>
    <t>666.86</t>
  </si>
  <si>
    <t>1.34</t>
  </si>
  <si>
    <t>4867</t>
  </si>
  <si>
    <t>NET</t>
  </si>
  <si>
    <t>0.222</t>
  </si>
  <si>
    <t>166500</t>
  </si>
  <si>
    <t>166834</t>
  </si>
  <si>
    <t>333</t>
  </si>
  <si>
    <t>4860</t>
  </si>
  <si>
    <t>2.946</t>
  </si>
  <si>
    <t>23568</t>
  </si>
  <si>
    <t>23519.86</t>
  </si>
  <si>
    <t>47.14</t>
  </si>
  <si>
    <t>4857</t>
  </si>
  <si>
    <t>6.5</t>
  </si>
  <si>
    <t>14300</t>
  </si>
  <si>
    <t>14270.4</t>
  </si>
  <si>
    <t>28.6</t>
  </si>
  <si>
    <t>4891</t>
  </si>
  <si>
    <t>BQ8NYV1</t>
  </si>
  <si>
    <t>IM00BQ8NYV14</t>
  </si>
  <si>
    <t>KAPE</t>
  </si>
  <si>
    <t>1250000</t>
  </si>
  <si>
    <t>1.15</t>
  </si>
  <si>
    <t>1437500</t>
  </si>
  <si>
    <t>1440376</t>
  </si>
  <si>
    <t>2875</t>
  </si>
  <si>
    <t>4894</t>
  </si>
  <si>
    <t>818635</t>
  </si>
  <si>
    <t>0.240182</t>
  </si>
  <si>
    <t>196621.39</t>
  </si>
  <si>
    <t>197015.63</t>
  </si>
  <si>
    <t>393.24</t>
  </si>
  <si>
    <t>JEFFERIES</t>
  </si>
  <si>
    <t>B1FP891</t>
  </si>
  <si>
    <t>GB00B1FP8915</t>
  </si>
  <si>
    <t>BBA</t>
  </si>
  <si>
    <t>194905</t>
  </si>
  <si>
    <t>3.0958</t>
  </si>
  <si>
    <t>603386.9</t>
  </si>
  <si>
    <t>607617.64</t>
  </si>
  <si>
    <t>1206.77</t>
  </si>
  <si>
    <t>3023.97</t>
  </si>
  <si>
    <t>4973</t>
  </si>
  <si>
    <t>360048</t>
  </si>
  <si>
    <t>0.25</t>
  </si>
  <si>
    <t>90012</t>
  </si>
  <si>
    <t>90193.02</t>
  </si>
  <si>
    <t>180.02</t>
  </si>
  <si>
    <t>4967</t>
  </si>
  <si>
    <t>11898</t>
  </si>
  <si>
    <t>2.622366</t>
  </si>
  <si>
    <t>31200.91</t>
  </si>
  <si>
    <t>31420.63</t>
  </si>
  <si>
    <t>62.4</t>
  </si>
  <si>
    <t>157.32</t>
  </si>
  <si>
    <t>4948</t>
  </si>
  <si>
    <t>LGRS</t>
  </si>
  <si>
    <t>712500</t>
  </si>
  <si>
    <t>1.885</t>
  </si>
  <si>
    <t>1343062.5</t>
  </si>
  <si>
    <t>1345749.63</t>
  </si>
  <si>
    <t>2686.13</t>
  </si>
  <si>
    <t>4956</t>
  </si>
  <si>
    <t>1.2225</t>
  </si>
  <si>
    <t>152812.5</t>
  </si>
  <si>
    <t>153119.13</t>
  </si>
  <si>
    <t>305.63</t>
  </si>
  <si>
    <t>4953</t>
  </si>
  <si>
    <t>TEG</t>
  </si>
  <si>
    <t>2.58</t>
  </si>
  <si>
    <t>258000</t>
  </si>
  <si>
    <t>259809.58</t>
  </si>
  <si>
    <t>516</t>
  </si>
  <si>
    <t>1293.58</t>
  </si>
  <si>
    <t>4944</t>
  </si>
  <si>
    <t>BF1XGQ0</t>
  </si>
  <si>
    <t>GB00BF1XGQ00</t>
  </si>
  <si>
    <t>ANG</t>
  </si>
  <si>
    <t>1750000</t>
  </si>
  <si>
    <t>0.62</t>
  </si>
  <si>
    <t>1085000</t>
  </si>
  <si>
    <t>1087171</t>
  </si>
  <si>
    <t>2170</t>
  </si>
  <si>
    <t>0025</t>
  </si>
  <si>
    <t>9206</t>
  </si>
  <si>
    <t>3.0567</t>
  </si>
  <si>
    <t>28139.9802</t>
  </si>
  <si>
    <t>28338.2402</t>
  </si>
  <si>
    <t>56.28</t>
  </si>
  <si>
    <t>141.98</t>
  </si>
  <si>
    <t>0026</t>
  </si>
  <si>
    <t>FIF</t>
  </si>
  <si>
    <t>0.82</t>
  </si>
  <si>
    <t>41083</t>
  </si>
  <si>
    <t>82</t>
  </si>
  <si>
    <t>0027</t>
  </si>
  <si>
    <t>1.77</t>
  </si>
  <si>
    <t>36531.03</t>
  </si>
  <si>
    <t>36456.97</t>
  </si>
  <si>
    <t>73.06</t>
  </si>
  <si>
    <t>0028</t>
  </si>
  <si>
    <t>25418.97</t>
  </si>
  <si>
    <t>25367.13</t>
  </si>
  <si>
    <t>50.84</t>
  </si>
  <si>
    <t>5043</t>
  </si>
  <si>
    <t>85000</t>
  </si>
  <si>
    <t>103912.5</t>
  </si>
  <si>
    <t>104121.33</t>
  </si>
  <si>
    <t>207.83</t>
  </si>
  <si>
    <t>4997</t>
  </si>
  <si>
    <t>0.26</t>
  </si>
  <si>
    <t>260521</t>
  </si>
  <si>
    <t>520</t>
  </si>
  <si>
    <t>5069</t>
  </si>
  <si>
    <t>150000</t>
  </si>
  <si>
    <t>1.243</t>
  </si>
  <si>
    <t>186450</t>
  </si>
  <si>
    <t>186823.9</t>
  </si>
  <si>
    <t>372.9</t>
  </si>
  <si>
    <t>5072</t>
  </si>
  <si>
    <t>162500</t>
  </si>
  <si>
    <t>201987.5</t>
  </si>
  <si>
    <t>202392.48</t>
  </si>
  <si>
    <t>403.98</t>
  </si>
  <si>
    <t>5123</t>
  </si>
  <si>
    <t>283000</t>
  </si>
  <si>
    <t>0.259621</t>
  </si>
  <si>
    <t>73472.74</t>
  </si>
  <si>
    <t>73620.69</t>
  </si>
  <si>
    <t>146.95</t>
  </si>
  <si>
    <t>5117</t>
  </si>
  <si>
    <t>388102</t>
  </si>
  <si>
    <t>2.649729</t>
  </si>
  <si>
    <t>1028365.12</t>
  </si>
  <si>
    <t>1035574.96</t>
  </si>
  <si>
    <t>2056.73</t>
  </si>
  <si>
    <t>5153.11</t>
  </si>
  <si>
    <t>5090</t>
  </si>
  <si>
    <t>3.205</t>
  </si>
  <si>
    <t>320500</t>
  </si>
  <si>
    <t>319858</t>
  </si>
  <si>
    <t>641</t>
  </si>
  <si>
    <t>5098</t>
  </si>
  <si>
    <t>236000</t>
  </si>
  <si>
    <t>302080</t>
  </si>
  <si>
    <t>302685.16</t>
  </si>
  <si>
    <t>604.16</t>
  </si>
  <si>
    <t>5165</t>
  </si>
  <si>
    <t>BFWZ2G7</t>
  </si>
  <si>
    <t>GB00BFWZ2G72</t>
  </si>
  <si>
    <t>CDM</t>
  </si>
  <si>
    <t>490103</t>
  </si>
  <si>
    <t>2.346</t>
  </si>
  <si>
    <t>1149781.64</t>
  </si>
  <si>
    <t>1152082.2</t>
  </si>
  <si>
    <t>2299.56</t>
  </si>
  <si>
    <t>5166</t>
  </si>
  <si>
    <t>9897</t>
  </si>
  <si>
    <t>23218.36</t>
  </si>
  <si>
    <t>23265.8</t>
  </si>
  <si>
    <t>245052</t>
  </si>
  <si>
    <t>514609.2</t>
  </si>
  <si>
    <t>4949</t>
  </si>
  <si>
    <t>10392.9</t>
  </si>
  <si>
    <t>GRESHAM HOUSE UK MULTI CAP FUND</t>
  </si>
  <si>
    <t>0029</t>
  </si>
  <si>
    <t>BKDM7X4</t>
  </si>
  <si>
    <t>GB00BKDM7X41</t>
  </si>
  <si>
    <t>SIG</t>
  </si>
  <si>
    <t>163288</t>
  </si>
  <si>
    <t>3.238091</t>
  </si>
  <si>
    <t>528741.4032</t>
  </si>
  <si>
    <t>527682.9232</t>
  </si>
  <si>
    <t>1057.48</t>
  </si>
  <si>
    <t>0030</t>
  </si>
  <si>
    <t>5172</t>
  </si>
  <si>
    <t>913435</t>
  </si>
  <si>
    <t>2.338947</t>
  </si>
  <si>
    <t>2136476.05</t>
  </si>
  <si>
    <t>2140750.01</t>
  </si>
  <si>
    <t>4272.96</t>
  </si>
  <si>
    <t>0031</t>
  </si>
  <si>
    <t>DXRX</t>
  </si>
  <si>
    <t>0.92</t>
  </si>
  <si>
    <t>92000</t>
  </si>
  <si>
    <t>92185</t>
  </si>
  <si>
    <t>184</t>
  </si>
  <si>
    <t>0035</t>
  </si>
  <si>
    <t>NXR</t>
  </si>
  <si>
    <t>34371</t>
  </si>
  <si>
    <t>2.551</t>
  </si>
  <si>
    <t>87680.421</t>
  </si>
  <si>
    <t>88296.06184</t>
  </si>
  <si>
    <t>175.360842</t>
  </si>
  <si>
    <t>440.28</t>
  </si>
  <si>
    <t>0036</t>
  </si>
  <si>
    <t>2505</t>
  </si>
  <si>
    <t>6312.6</t>
  </si>
  <si>
    <t>6356.8452</t>
  </si>
  <si>
    <t>12.6152</t>
  </si>
  <si>
    <t>31.63</t>
  </si>
  <si>
    <t>0032</t>
  </si>
  <si>
    <t>5173</t>
  </si>
  <si>
    <t>18445</t>
  </si>
  <si>
    <t>43141.88</t>
  </si>
  <si>
    <t>43229.16</t>
  </si>
  <si>
    <t>86.28</t>
  </si>
  <si>
    <t>0033</t>
  </si>
  <si>
    <t>6390.255</t>
  </si>
  <si>
    <t>6435.05551</t>
  </si>
  <si>
    <t>12.78051</t>
  </si>
  <si>
    <t>32.02</t>
  </si>
  <si>
    <t>0034</t>
  </si>
  <si>
    <t>182</t>
  </si>
  <si>
    <t>458.64</t>
  </si>
  <si>
    <t>461.85728</t>
  </si>
  <si>
    <t>0.91728</t>
  </si>
  <si>
    <t>2.3</t>
  </si>
  <si>
    <t>5298</t>
  </si>
  <si>
    <t>489724</t>
  </si>
  <si>
    <t>318320.6</t>
  </si>
  <si>
    <t>317682.96</t>
  </si>
  <si>
    <t>636.64</t>
  </si>
  <si>
    <t>0037</t>
  </si>
  <si>
    <t>135000</t>
  </si>
  <si>
    <t>4.020428</t>
  </si>
  <si>
    <t>542757.78</t>
  </si>
  <si>
    <t>546563.5156</t>
  </si>
  <si>
    <t>1085.51556</t>
  </si>
  <si>
    <t>2720.22</t>
  </si>
  <si>
    <t>5299</t>
  </si>
  <si>
    <t>10276</t>
  </si>
  <si>
    <t>6679.4</t>
  </si>
  <si>
    <t>6666.04</t>
  </si>
  <si>
    <t>13.36</t>
  </si>
  <si>
    <t>0038</t>
  </si>
  <si>
    <t>BF4X3P5</t>
  </si>
  <si>
    <t>JE00BF4X3P53</t>
  </si>
  <si>
    <t>JTC</t>
  </si>
  <si>
    <t>10233</t>
  </si>
  <si>
    <t>3.6</t>
  </si>
  <si>
    <t>36838.8</t>
  </si>
  <si>
    <t>36913.4776</t>
  </si>
  <si>
    <t>73.6776</t>
  </si>
  <si>
    <t>5398</t>
  </si>
  <si>
    <t>3.2228885</t>
  </si>
  <si>
    <t>435089.9375</t>
  </si>
  <si>
    <t>434218.7576</t>
  </si>
  <si>
    <t>870.179875</t>
  </si>
  <si>
    <t>5489</t>
  </si>
  <si>
    <t>24486</t>
  </si>
  <si>
    <t>15915.9</t>
  </si>
  <si>
    <t>15883.07</t>
  </si>
  <si>
    <t>31.83</t>
  </si>
  <si>
    <t>5469</t>
  </si>
  <si>
    <t>73459</t>
  </si>
  <si>
    <t>47748.35</t>
  </si>
  <si>
    <t>47651.85</t>
  </si>
  <si>
    <t>95.5</t>
  </si>
  <si>
    <t>5490</t>
  </si>
  <si>
    <t>514</t>
  </si>
  <si>
    <t>334.1</t>
  </si>
  <si>
    <t>333.43</t>
  </si>
  <si>
    <t>5470</t>
  </si>
  <si>
    <t>1541</t>
  </si>
  <si>
    <t>1001.65</t>
  </si>
  <si>
    <t>999.65</t>
  </si>
  <si>
    <t>5515</t>
  </si>
  <si>
    <t>244863</t>
  </si>
  <si>
    <t>0.6615</t>
  </si>
  <si>
    <t>161976.87</t>
  </si>
  <si>
    <t>161651.92</t>
  </si>
  <si>
    <t>323.95</t>
  </si>
  <si>
    <t>5498</t>
  </si>
  <si>
    <t>0.2975</t>
  </si>
  <si>
    <t>14875</t>
  </si>
  <si>
    <t>14905.75</t>
  </si>
  <si>
    <t>29.75</t>
  </si>
  <si>
    <t>5516</t>
  </si>
  <si>
    <t>5137</t>
  </si>
  <si>
    <t>3398.13</t>
  </si>
  <si>
    <t>3391.33</t>
  </si>
  <si>
    <t>6.8</t>
  </si>
  <si>
    <t>5530</t>
  </si>
  <si>
    <t>SYS</t>
  </si>
  <si>
    <t>2200000</t>
  </si>
  <si>
    <t>0.31</t>
  </si>
  <si>
    <t>682000</t>
  </si>
  <si>
    <t>683365</t>
  </si>
  <si>
    <t>1364</t>
  </si>
  <si>
    <t>5580</t>
  </si>
  <si>
    <t>1.8</t>
  </si>
  <si>
    <t>453155.5</t>
  </si>
  <si>
    <t>2255.5</t>
  </si>
  <si>
    <t>5625</t>
  </si>
  <si>
    <t>69500</t>
  </si>
  <si>
    <t>69988.2</t>
  </si>
  <si>
    <t>139</t>
  </si>
  <si>
    <t>349.2</t>
  </si>
  <si>
    <t>5629</t>
  </si>
  <si>
    <t>160000</t>
  </si>
  <si>
    <t>160321</t>
  </si>
  <si>
    <t>320</t>
  </si>
  <si>
    <t>5627</t>
  </si>
  <si>
    <t>580000</t>
  </si>
  <si>
    <t>584066.8</t>
  </si>
  <si>
    <t>1160</t>
  </si>
  <si>
    <t>2906.8</t>
  </si>
  <si>
    <t>5697</t>
  </si>
  <si>
    <t>2.37</t>
  </si>
  <si>
    <t>189600</t>
  </si>
  <si>
    <t>189980.2</t>
  </si>
  <si>
    <t>379.2</t>
  </si>
  <si>
    <t>5694</t>
  </si>
  <si>
    <t>500000</t>
  </si>
  <si>
    <t>800000</t>
  </si>
  <si>
    <t>801601</t>
  </si>
  <si>
    <t>1600</t>
  </si>
  <si>
    <t>5699</t>
  </si>
  <si>
    <t>492025</t>
  </si>
  <si>
    <t>1426872.5</t>
  </si>
  <si>
    <t>1436875.88</t>
  </si>
  <si>
    <t>2853.75</t>
  </si>
  <si>
    <t>7149.63</t>
  </si>
  <si>
    <t>5668</t>
  </si>
  <si>
    <t>563857</t>
  </si>
  <si>
    <t>2.81</t>
  </si>
  <si>
    <t>1584438.17</t>
  </si>
  <si>
    <t>1587608.05</t>
  </si>
  <si>
    <t>3168.88</t>
  </si>
  <si>
    <t>5673</t>
  </si>
  <si>
    <t>TAM</t>
  </si>
  <si>
    <t>816000</t>
  </si>
  <si>
    <t>2203200</t>
  </si>
  <si>
    <t>2207607.4</t>
  </si>
  <si>
    <t>4406.4</t>
  </si>
  <si>
    <t>5687</t>
  </si>
  <si>
    <t>DUKE</t>
  </si>
  <si>
    <t>0.495</t>
  </si>
  <si>
    <t>247500</t>
  </si>
  <si>
    <t>247996</t>
  </si>
  <si>
    <t>495</t>
  </si>
  <si>
    <t>5674</t>
  </si>
  <si>
    <t>180000</t>
  </si>
  <si>
    <t>486000</t>
  </si>
  <si>
    <t>486973</t>
  </si>
  <si>
    <t>972</t>
  </si>
  <si>
    <t>5700</t>
  </si>
  <si>
    <t>7975</t>
  </si>
  <si>
    <t>23127.5</t>
  </si>
  <si>
    <t>23290.63</t>
  </si>
  <si>
    <t>46.26</t>
  </si>
  <si>
    <t>116.87</t>
  </si>
  <si>
    <t>5669</t>
  </si>
  <si>
    <t>11143</t>
  </si>
  <si>
    <t>31311.83</t>
  </si>
  <si>
    <t>31375.45</t>
  </si>
  <si>
    <t>62.62</t>
  </si>
  <si>
    <t>5747</t>
  </si>
  <si>
    <t>765000</t>
  </si>
  <si>
    <t>0.91</t>
  </si>
  <si>
    <t>696150</t>
  </si>
  <si>
    <t>697543.3</t>
  </si>
  <si>
    <t>1392.3</t>
  </si>
  <si>
    <t>5744</t>
  </si>
  <si>
    <t>300601</t>
  </si>
  <si>
    <t>5741</t>
  </si>
  <si>
    <t>263445</t>
  </si>
  <si>
    <t>1.32</t>
  </si>
  <si>
    <t>347747.4</t>
  </si>
  <si>
    <t>350186.1</t>
  </si>
  <si>
    <t>695.49</t>
  </si>
  <si>
    <t>1743.21</t>
  </si>
  <si>
    <t>5730</t>
  </si>
  <si>
    <t>352000</t>
  </si>
  <si>
    <t>352705</t>
  </si>
  <si>
    <t>704</t>
  </si>
  <si>
    <t>5560</t>
  </si>
  <si>
    <t>40080</t>
  </si>
  <si>
    <t>80</t>
  </si>
  <si>
    <t>21465</t>
  </si>
  <si>
    <t>0.2954</t>
  </si>
  <si>
    <t>6340.761</t>
  </si>
  <si>
    <t>6353.442522</t>
  </si>
  <si>
    <t>12.681522</t>
  </si>
  <si>
    <t>5556</t>
  </si>
  <si>
    <t>47647</t>
  </si>
  <si>
    <t>2.7262963</t>
  </si>
  <si>
    <t>129899.8398</t>
  </si>
  <si>
    <t>130811.4395</t>
  </si>
  <si>
    <t>259.7996796</t>
  </si>
  <si>
    <t>651.8</t>
  </si>
  <si>
    <t>5748</t>
  </si>
  <si>
    <t>77350</t>
  </si>
  <si>
    <t>77505.7</t>
  </si>
  <si>
    <t>154.7</t>
  </si>
  <si>
    <t>5769</t>
  </si>
  <si>
    <t>502521</t>
  </si>
  <si>
    <t>1055294.1</t>
  </si>
  <si>
    <t>1057405.68</t>
  </si>
  <si>
    <t>2110.58</t>
  </si>
  <si>
    <t>5797</t>
  </si>
  <si>
    <t>604207</t>
  </si>
  <si>
    <t>1200</t>
  </si>
  <si>
    <t>3007</t>
  </si>
  <si>
    <t>5800</t>
  </si>
  <si>
    <t>MAB1</t>
  </si>
  <si>
    <t>290594</t>
  </si>
  <si>
    <t>2237573.8</t>
  </si>
  <si>
    <t>2242049.95</t>
  </si>
  <si>
    <t>4475.15</t>
  </si>
  <si>
    <t>5755.1</t>
  </si>
  <si>
    <t>152723</t>
  </si>
  <si>
    <t>0.925</t>
  </si>
  <si>
    <t>141268.775</t>
  </si>
  <si>
    <t>141552.3126</t>
  </si>
  <si>
    <t>282.53755</t>
  </si>
  <si>
    <t>5801</t>
  </si>
  <si>
    <t>59406</t>
  </si>
  <si>
    <t>457426.2</t>
  </si>
  <si>
    <t>458342.05</t>
  </si>
  <si>
    <t>914.85</t>
  </si>
  <si>
    <t>5755.2</t>
  </si>
  <si>
    <t>19064</t>
  </si>
  <si>
    <t>17634.2</t>
  </si>
  <si>
    <t>17670.4684</t>
  </si>
  <si>
    <t>35.2684</t>
  </si>
  <si>
    <t>5770</t>
  </si>
  <si>
    <t>14780</t>
  </si>
  <si>
    <t>31038</t>
  </si>
  <si>
    <t>31101.08</t>
  </si>
  <si>
    <t>62.08</t>
  </si>
  <si>
    <t>5858</t>
  </si>
  <si>
    <t>3091357</t>
  </si>
  <si>
    <t>GB0030913577</t>
  </si>
  <si>
    <t>BT/A</t>
  </si>
  <si>
    <t>2.00558</t>
  </si>
  <si>
    <t>2005580</t>
  </si>
  <si>
    <t>2017624.51</t>
  </si>
  <si>
    <t>2005.58</t>
  </si>
  <si>
    <t>10038.93</t>
  </si>
  <si>
    <t>5855</t>
  </si>
  <si>
    <t>43280</t>
  </si>
  <si>
    <t>0.9377564</t>
  </si>
  <si>
    <t>40586.09699</t>
  </si>
  <si>
    <t>40668.26699</t>
  </si>
  <si>
    <t>81.17</t>
  </si>
  <si>
    <t>5854</t>
  </si>
  <si>
    <t>346720</t>
  </si>
  <si>
    <t>325138.899</t>
  </si>
  <si>
    <t>325790.179</t>
  </si>
  <si>
    <t>650.28</t>
  </si>
  <si>
    <t>5836</t>
  </si>
  <si>
    <t>2.899625</t>
  </si>
  <si>
    <t>579925</t>
  </si>
  <si>
    <t>583991.27</t>
  </si>
  <si>
    <t>1159.85</t>
  </si>
  <si>
    <t>2906.42</t>
  </si>
  <si>
    <t>5847</t>
  </si>
  <si>
    <t>5856</t>
  </si>
  <si>
    <t>22500</t>
  </si>
  <si>
    <t>63000</t>
  </si>
  <si>
    <t>63442.63</t>
  </si>
  <si>
    <t>126</t>
  </si>
  <si>
    <t>316.63</t>
  </si>
  <si>
    <t>5813</t>
  </si>
  <si>
    <t>78000</t>
  </si>
  <si>
    <t>2.7987179</t>
  </si>
  <si>
    <t>218299.9962</t>
  </si>
  <si>
    <t>219831.2762</t>
  </si>
  <si>
    <t>436.5999924</t>
  </si>
  <si>
    <t>1094.68</t>
  </si>
  <si>
    <t>5790</t>
  </si>
  <si>
    <t>ORCH</t>
  </si>
  <si>
    <t>0.75</t>
  </si>
  <si>
    <t>112726</t>
  </si>
  <si>
    <t>225</t>
  </si>
  <si>
    <t>5946</t>
  </si>
  <si>
    <t>2.794724</t>
  </si>
  <si>
    <t>55894.48</t>
  </si>
  <si>
    <t>56287.3</t>
  </si>
  <si>
    <t>111.79</t>
  </si>
  <si>
    <t>281.03</t>
  </si>
  <si>
    <t>5942</t>
  </si>
  <si>
    <t>44451</t>
  </si>
  <si>
    <t>0.97</t>
  </si>
  <si>
    <t>43117.47</t>
  </si>
  <si>
    <t>43204.7</t>
  </si>
  <si>
    <t>86.23</t>
  </si>
  <si>
    <t>5943</t>
  </si>
  <si>
    <t>5549</t>
  </si>
  <si>
    <t>5382.53</t>
  </si>
  <si>
    <t>5393.3</t>
  </si>
  <si>
    <t>10.77</t>
  </si>
  <si>
    <t>5927</t>
  </si>
  <si>
    <t>1.942359</t>
  </si>
  <si>
    <t>1942359</t>
  </si>
  <si>
    <t>1940415.64</t>
  </si>
  <si>
    <t>1942.36</t>
  </si>
  <si>
    <t>5931</t>
  </si>
  <si>
    <t>1.991295</t>
  </si>
  <si>
    <t>995647.5</t>
  </si>
  <si>
    <t>1001627.37</t>
  </si>
  <si>
    <t>995.65</t>
  </si>
  <si>
    <t>4984.22</t>
  </si>
  <si>
    <t>Row Labels</t>
  </si>
  <si>
    <t>Grand Total</t>
  </si>
  <si>
    <t>Column Labels</t>
  </si>
  <si>
    <t>Sum of Current Face</t>
  </si>
  <si>
    <t>Trading Volume</t>
  </si>
  <si>
    <t>Gresham House Strategic Plc</t>
  </si>
  <si>
    <t xml:space="preserve">Custody Trades Register </t>
  </si>
  <si>
    <t>17.03.20</t>
  </si>
  <si>
    <t>Instrument</t>
  </si>
  <si>
    <t>ISIN</t>
  </si>
  <si>
    <t>Type</t>
  </si>
  <si>
    <t>Settlement Date</t>
  </si>
  <si>
    <t>Trade Date (Execution Date)</t>
  </si>
  <si>
    <t>Counterparty</t>
  </si>
  <si>
    <t>Counterparty Full Name</t>
  </si>
  <si>
    <t>CP Settlement Contact</t>
  </si>
  <si>
    <t>Quantity</t>
  </si>
  <si>
    <t>Gross Settlement</t>
  </si>
  <si>
    <t>Fees</t>
  </si>
  <si>
    <t>Settlement Amount</t>
  </si>
  <si>
    <t>Comments</t>
  </si>
  <si>
    <t>PCF GROUP</t>
  </si>
  <si>
    <t>GB0004189378</t>
  </si>
  <si>
    <t>Transfer in</t>
  </si>
  <si>
    <t>WBS</t>
  </si>
  <si>
    <t>Winter Flood Brokers</t>
  </si>
  <si>
    <t>mark.cooper@winterflood.com</t>
  </si>
  <si>
    <t xml:space="preserve">Free of payment transfer </t>
  </si>
  <si>
    <t>Buy</t>
  </si>
  <si>
    <t>richard.johnson@stockdalesecurities.com</t>
  </si>
  <si>
    <t>GB00BHWTRF73</t>
  </si>
  <si>
    <t>Rights</t>
  </si>
  <si>
    <t>Corp Action</t>
  </si>
  <si>
    <t>_</t>
  </si>
  <si>
    <t>Sell</t>
  </si>
  <si>
    <t>Shore Capital</t>
  </si>
  <si>
    <t>settlements@shorecap.co.uk</t>
  </si>
  <si>
    <t>Total Position</t>
  </si>
  <si>
    <t xml:space="preserve">BRAND ARCHITEK. ORD 5P </t>
  </si>
  <si>
    <t>GB0008667304</t>
  </si>
  <si>
    <t>N+1</t>
  </si>
  <si>
    <t>N+1 Singer</t>
  </si>
  <si>
    <t>ops@NPlus1Singer.com</t>
  </si>
  <si>
    <t>SWALLOWFIELD PLC</t>
  </si>
  <si>
    <t xml:space="preserve">SWALLOWFIELD ORD 5P </t>
  </si>
  <si>
    <t>SWALLOWFIELD ORD 5P</t>
  </si>
  <si>
    <t>CAFZ</t>
  </si>
  <si>
    <t>UNIVERSE GROUP</t>
  </si>
  <si>
    <t>GB0009483594</t>
  </si>
  <si>
    <t>Cantor Fitzgerald</t>
  </si>
  <si>
    <t>CAFZ-Equities_PET@cantor.co.uk</t>
  </si>
  <si>
    <t xml:space="preserve">Centaur Media PL Shares </t>
  </si>
  <si>
    <t>GB0034291418</t>
  </si>
  <si>
    <t>Centaur  ORD 10P</t>
  </si>
  <si>
    <t>GB0024291418</t>
  </si>
  <si>
    <t>NUMS</t>
  </si>
  <si>
    <t>Numis</t>
  </si>
  <si>
    <t>middleoffice@numis.com</t>
  </si>
  <si>
    <t>CENTAUR ORD 10P</t>
  </si>
  <si>
    <t xml:space="preserve">CENTAUR ORD </t>
  </si>
  <si>
    <t xml:space="preserve">AUGEAN ORD </t>
  </si>
  <si>
    <t>GB00B02H2F76</t>
  </si>
  <si>
    <t>SpaceandPeople Plc</t>
  </si>
  <si>
    <t>GB00B058DS79</t>
  </si>
  <si>
    <r>
      <t>NORTHBRIDGE IND ORD 10P</t>
    </r>
    <r>
      <rPr>
        <sz val="10"/>
        <color rgb="FF000000"/>
        <rFont val="Verdana"/>
        <family val="2"/>
      </rPr>
      <t xml:space="preserve"> </t>
    </r>
  </si>
  <si>
    <t>GB00B0SPFW38</t>
  </si>
  <si>
    <t xml:space="preserve">NORTHBRIDGE IND ORD 10P </t>
  </si>
  <si>
    <t>STK</t>
  </si>
  <si>
    <t xml:space="preserve">ESCAPE HUNT PLC </t>
  </si>
  <si>
    <t>GB00BDB79J29</t>
  </si>
  <si>
    <t xml:space="preserve">ESCAPE HUNT ORD </t>
  </si>
  <si>
    <t>Transfer In</t>
  </si>
  <si>
    <t>**Trade settled at Winter Flood but shares later moved to Sparkasse FOP**</t>
  </si>
  <si>
    <t>Stockdale</t>
  </si>
  <si>
    <t>Nicola.Butler@stockdalesecurities.com</t>
  </si>
  <si>
    <t xml:space="preserve">LSE </t>
  </si>
  <si>
    <t>ClientOnboarding@peelhunt.com</t>
  </si>
  <si>
    <t>IMIMOBILE</t>
  </si>
  <si>
    <t xml:space="preserve">IMIMOBILE ORD </t>
  </si>
  <si>
    <t xml:space="preserve">BE HEARD ORD GBP0.01 </t>
  </si>
  <si>
    <t>GB00BT6SJV45</t>
  </si>
  <si>
    <r>
      <t>BE HEARD ORD GBP0.01</t>
    </r>
    <r>
      <rPr>
        <sz val="10"/>
        <color rgb="FF000000"/>
        <rFont val="Verdana"/>
        <family val="2"/>
      </rPr>
      <t xml:space="preserve"> </t>
    </r>
  </si>
  <si>
    <t xml:space="preserve">PRESSURE TECH ORD 5P </t>
  </si>
  <si>
    <t>GB00B1XFKR57</t>
  </si>
  <si>
    <t xml:space="preserve">FULCRUM UTILITY ORD 0.1P (DI) </t>
  </si>
  <si>
    <t>KYG368851047</t>
  </si>
  <si>
    <t>ULS TECH</t>
  </si>
  <si>
    <t>GB00BNG8T458</t>
  </si>
  <si>
    <t>MJ Hudson Group plc</t>
  </si>
  <si>
    <t>JE00BJTLYP93</t>
  </si>
  <si>
    <t>IPO</t>
  </si>
  <si>
    <t>Physical share cert - to be dematerialised</t>
  </si>
  <si>
    <t>Quarto Group Inc.</t>
  </si>
  <si>
    <t>US74772E1001</t>
  </si>
  <si>
    <t>**Free of Payment transfer to Sparkasse**</t>
  </si>
  <si>
    <t>PROPHOTONIX LTD</t>
  </si>
  <si>
    <t>US7434651060</t>
  </si>
  <si>
    <t>HYDRODEC</t>
  </si>
  <si>
    <t>GB00BFD2QZ40</t>
  </si>
  <si>
    <t xml:space="preserve">Arden </t>
  </si>
  <si>
    <t>Arden Partners</t>
  </si>
  <si>
    <t>marcus.gehling@arden-partners.com</t>
  </si>
  <si>
    <t>Liquidation</t>
  </si>
  <si>
    <t>Due to corporate action - company taken private</t>
  </si>
  <si>
    <t>SMARTSPACE SOFTWARE</t>
  </si>
  <si>
    <t>GB00BYWN0F98</t>
  </si>
  <si>
    <t>VAN ELLE HOLDINGS ORD</t>
  </si>
  <si>
    <t>GB00BYX4TP46</t>
  </si>
  <si>
    <t>PH</t>
  </si>
  <si>
    <t>Peel Hunt LLP</t>
  </si>
  <si>
    <t>aim.team@greshamhouse.com</t>
  </si>
  <si>
    <t>Gresham House Strategic Public Equity</t>
  </si>
  <si>
    <t>Free of payment transfer from Winter Flood</t>
  </si>
  <si>
    <t>Transfer</t>
  </si>
  <si>
    <t>Free of payment</t>
  </si>
  <si>
    <t>BE Heard ORD</t>
  </si>
  <si>
    <t>15/02/1019</t>
  </si>
  <si>
    <r>
      <rPr>
        <b/>
        <sz val="10"/>
        <color rgb="FF000000"/>
        <rFont val="Verdana"/>
        <family val="2"/>
      </rPr>
      <t>PRESSURE TECH ORD 5P</t>
    </r>
    <r>
      <rPr>
        <sz val="10"/>
        <color rgb="FF000000"/>
        <rFont val="Verdana"/>
        <family val="2"/>
      </rPr>
      <t xml:space="preserve"> </t>
    </r>
  </si>
  <si>
    <t>Numis Securities</t>
  </si>
  <si>
    <t>Physical share Cert</t>
  </si>
  <si>
    <t>GHS</t>
  </si>
  <si>
    <t>SPE</t>
  </si>
  <si>
    <t>Fund</t>
  </si>
  <si>
    <t>Sum of Quantity</t>
  </si>
  <si>
    <t>Count of Current Face</t>
  </si>
  <si>
    <t>Orders</t>
  </si>
  <si>
    <t>Count of Quantity</t>
  </si>
  <si>
    <t>#</t>
  </si>
  <si>
    <t>Company Share Class ID</t>
  </si>
  <si>
    <t>Company</t>
  </si>
  <si>
    <t>Investment Type</t>
  </si>
  <si>
    <t>Cloudcall Group plc</t>
  </si>
  <si>
    <t>BVT</t>
  </si>
  <si>
    <t>Quoted</t>
  </si>
  <si>
    <t>Diaceutics plc</t>
  </si>
  <si>
    <t>Bioventix plc</t>
  </si>
  <si>
    <t>Collagen Solutions plc</t>
  </si>
  <si>
    <t>STM Group plc</t>
  </si>
  <si>
    <t>Sanderson Group plc</t>
  </si>
  <si>
    <t>Entertainment AI plc</t>
  </si>
  <si>
    <t>Paragon Entertainment Ltd</t>
  </si>
  <si>
    <t>Brady plc</t>
  </si>
  <si>
    <t>Ideagen plc</t>
  </si>
  <si>
    <t>APC Technology Gro</t>
  </si>
  <si>
    <t>Plastics Capital plc</t>
  </si>
  <si>
    <t>Synectics plc</t>
  </si>
  <si>
    <t>Share Class</t>
  </si>
  <si>
    <t>Date Completed</t>
  </si>
  <si>
    <t>Qualifying/Non-Qualifying</t>
  </si>
  <si>
    <t>Transaction Type</t>
  </si>
  <si>
    <t>Shares</t>
  </si>
  <si>
    <t>Cost</t>
  </si>
  <si>
    <t>Cost Price Per Unit</t>
  </si>
  <si>
    <t>Value</t>
  </si>
  <si>
    <t>Sale Price Per Unit</t>
  </si>
  <si>
    <t>Multiple</t>
  </si>
  <si>
    <t>Profit/(Loss)</t>
  </si>
  <si>
    <t>n/a</t>
  </si>
  <si>
    <t>Qualifying</t>
  </si>
  <si>
    <t>Investment</t>
  </si>
  <si>
    <t/>
  </si>
  <si>
    <t>Non-Qualifying</t>
  </si>
  <si>
    <t>Divestment</t>
  </si>
  <si>
    <t>BSVT</t>
  </si>
  <si>
    <t>FinnCap</t>
  </si>
  <si>
    <t>Winterflood</t>
  </si>
  <si>
    <t>Cenkos</t>
  </si>
  <si>
    <t>Canaccord</t>
  </si>
  <si>
    <t>Dowgate</t>
  </si>
  <si>
    <t>ShoreCap</t>
  </si>
  <si>
    <t>Sum of Shares</t>
  </si>
  <si>
    <t>Count of Shares</t>
  </si>
  <si>
    <t>EF</t>
  </si>
  <si>
    <t>GHS &amp; SPE</t>
  </si>
  <si>
    <t>VCTs</t>
  </si>
  <si>
    <t>Volume</t>
  </si>
  <si>
    <t>%</t>
  </si>
  <si>
    <t>2019 GHAM trading placed with Brokers/Counterparties</t>
  </si>
  <si>
    <t>Close links, conflicts of interests, and common ownerships</t>
  </si>
  <si>
    <t>Holding at Dec 19</t>
  </si>
  <si>
    <t>Bloomberg formula - Values need to be copied to following column</t>
  </si>
  <si>
    <t>EQY_SH_OUT_Real</t>
  </si>
  <si>
    <t>PX_BID</t>
  </si>
  <si>
    <t>PREV_CLOSE_VAL</t>
  </si>
  <si>
    <t>Investment Number</t>
  </si>
  <si>
    <t>Sedol</t>
  </si>
  <si>
    <t>Company Name</t>
  </si>
  <si>
    <t>Shares in Issue (bloomberg Formula)</t>
  </si>
  <si>
    <t>Shares in Issue (per bloomberg)</t>
  </si>
  <si>
    <t>Share Price (Bloomberg)</t>
  </si>
  <si>
    <t>Share Price</t>
  </si>
  <si>
    <t>Shares Held</t>
  </si>
  <si>
    <t>% Held</t>
  </si>
  <si>
    <t>Valuation</t>
  </si>
  <si>
    <t>% of NAV</t>
  </si>
  <si>
    <t>Total VCT</t>
  </si>
  <si>
    <t>Micro Cap</t>
  </si>
  <si>
    <t>Multi Cap&amp;Name</t>
  </si>
  <si>
    <t>Multi Cap</t>
  </si>
  <si>
    <t>Small Cap&amp;Name</t>
  </si>
  <si>
    <t>Small Cap</t>
  </si>
  <si>
    <t>Equity Funds</t>
  </si>
  <si>
    <t>Total</t>
  </si>
  <si>
    <t>BGKPX30</t>
  </si>
  <si>
    <t>#N/A Connection</t>
  </si>
  <si>
    <t>FINNCAP GROUP PLC</t>
  </si>
  <si>
    <t>Error</t>
  </si>
  <si>
    <t>NUMIS CORPORATION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</si>
</sst>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&quot; &quot;#,##0.000000&quot; &quot;;&quot;-&quot;#,##0.000000&quot; &quot;;&quot; -&quot;00&quot; &quot;;&quot; &quot;@&quot; &quot;"/>
    <numFmt numFmtId="169" formatCode="0.0000"/>
    <numFmt numFmtId="170" formatCode="0.000"/>
    <numFmt numFmtId="171" formatCode="0.0000000"/>
    <numFmt numFmtId="172" formatCode="[$$-409]#,##0;[Red][$$-409]#,##0"/>
    <numFmt numFmtId="173" formatCode="#,##0;\(#,##0\);&quot;-&quot;;@"/>
    <numFmt numFmtId="174" formatCode="#,##0.00;\(#,##0.00\);&quot;-&quot;;@"/>
    <numFmt numFmtId="175" formatCode="0.00&quot;x&quot;;\(0.00&quot;x&quot;\);&quot;-&quot;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Verdana"/>
      <family val="2"/>
    </font>
    <font>
      <u val="single"/>
      <sz val="11"/>
      <color rgb="FF0563C1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242729"/>
      <name val="Consolas"/>
      <family val="3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double">
        <color rgb="FF000000"/>
      </bottom>
    </border>
    <border>
      <left style="thick">
        <color rgb="FFFFFFFF"/>
      </left>
      <right style="thick">
        <color rgb="FFFFFFFF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6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166" fontId="4" fillId="0" borderId="0" applyFont="0" applyFill="0" applyBorder="0" applyAlignment="0" applyProtection="0"/>
    <xf numFmtId="172" fontId="4" fillId="4" borderId="0" applyBorder="0" applyAlignment="0" applyProtection="0"/>
  </cellStyleXfs>
  <cellXfs count="236">
    <xf numFmtId="0" fontId="0" fillId="0" borderId="0" xfId="0"/>
    <xf numFmtId="0" fontId="0" fillId="5" borderId="1" xfId="0" applyFill="1" applyBorder="1"/>
    <xf numFmtId="14" fontId="0" fillId="5" borderId="1" xfId="0" applyNumberFormat="1" applyFill="1" applyBorder="1"/>
    <xf numFmtId="164" fontId="0" fillId="5" borderId="1" xfId="0" applyNumberFormat="1" applyFill="1" applyBorder="1"/>
    <xf numFmtId="0" fontId="0" fillId="6" borderId="1" xfId="0" applyFill="1" applyBorder="1"/>
    <xf numFmtId="14" fontId="0" fillId="6" borderId="1" xfId="0" applyNumberFormat="1" applyFill="1" applyBorder="1"/>
    <xf numFmtId="164" fontId="0" fillId="6" borderId="1" xfId="0" applyNumberFormat="1" applyFill="1" applyBorder="1"/>
    <xf numFmtId="0" fontId="0" fillId="6" borderId="2" xfId="0" applyFill="1" applyBorder="1"/>
    <xf numFmtId="14" fontId="0" fillId="6" borderId="2" xfId="0" applyNumberFormat="1" applyFill="1" applyBorder="1"/>
    <xf numFmtId="164" fontId="0" fillId="6" borderId="2" xfId="0" applyNumberFormat="1" applyFill="1" applyBorder="1"/>
    <xf numFmtId="0" fontId="2" fillId="7" borderId="3" xfId="0" applyFont="1" applyFill="1" applyBorder="1"/>
    <xf numFmtId="0" fontId="0" fillId="5" borderId="2" xfId="0" applyFill="1" applyBorder="1"/>
    <xf numFmtId="14" fontId="0" fillId="5" borderId="2" xfId="0" applyNumberFormat="1" applyFill="1" applyBorder="1"/>
    <xf numFmtId="164" fontId="0" fillId="5" borderId="2" xfId="0" applyNumberFormat="1" applyFill="1" applyBorder="1"/>
    <xf numFmtId="0" fontId="0" fillId="0" borderId="0" xfId="0"/>
    <xf numFmtId="0" fontId="0" fillId="0" borderId="0" xfId="0" applyAlignment="1">
      <alignment horizontal="left"/>
    </xf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6" borderId="2" xfId="0" applyNumberFormat="1" applyFill="1" applyBorder="1"/>
    <xf numFmtId="0" fontId="0" fillId="5" borderId="2" xfId="0" applyNumberFormat="1" applyFill="1" applyBorder="1"/>
    <xf numFmtId="165" fontId="0" fillId="0" borderId="0" xfId="0" applyNumberFormat="1"/>
    <xf numFmtId="0" fontId="3" fillId="0" borderId="0" xfId="0" applyFont="1"/>
    <xf numFmtId="0" fontId="4" fillId="0" borderId="0" xfId="20">
      <alignment/>
      <protection/>
    </xf>
    <xf numFmtId="0" fontId="5" fillId="0" borderId="4" xfId="20" applyFont="1" applyBorder="1" applyAlignment="1">
      <alignment vertical="center"/>
      <protection/>
    </xf>
    <xf numFmtId="0" fontId="4" fillId="0" borderId="5" xfId="20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4" fillId="0" borderId="6" xfId="20" applyBorder="1" applyAlignment="1">
      <alignment horizontal="left" vertical="center"/>
      <protection/>
    </xf>
    <xf numFmtId="0" fontId="4" fillId="0" borderId="0" xfId="20" applyAlignment="1">
      <alignment horizontal="left" vertical="center"/>
      <protection/>
    </xf>
    <xf numFmtId="167" fontId="4" fillId="0" borderId="0" xfId="21" applyNumberFormat="1" applyAlignment="1">
      <alignment horizontal="center" vertical="center"/>
    </xf>
    <xf numFmtId="168" fontId="4" fillId="0" borderId="0" xfId="21" applyNumberFormat="1" applyAlignment="1">
      <alignment horizontal="center" vertical="center"/>
    </xf>
    <xf numFmtId="166" fontId="4" fillId="0" borderId="0" xfId="21" applyAlignment="1">
      <alignment horizontal="center" vertical="center"/>
    </xf>
    <xf numFmtId="0" fontId="5" fillId="0" borderId="7" xfId="20" applyFont="1" applyBorder="1" applyAlignment="1">
      <alignment vertical="center"/>
      <protection/>
    </xf>
    <xf numFmtId="0" fontId="4" fillId="0" borderId="0" xfId="20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4" fillId="0" borderId="8" xfId="20" applyBorder="1" applyAlignment="1">
      <alignment horizontal="left" vertical="center"/>
      <protection/>
    </xf>
    <xf numFmtId="0" fontId="6" fillId="8" borderId="7" xfId="20" applyFont="1" applyFill="1" applyBorder="1" applyAlignment="1">
      <alignment vertical="center"/>
      <protection/>
    </xf>
    <xf numFmtId="0" fontId="6" fillId="8" borderId="9" xfId="20" applyFont="1" applyFill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4" fillId="0" borderId="10" xfId="20" applyBorder="1" applyAlignment="1">
      <alignment horizontal="center" vertical="center"/>
      <protection/>
    </xf>
    <xf numFmtId="0" fontId="4" fillId="0" borderId="11" xfId="20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right" vertical="center" wrapText="1"/>
      <protection/>
    </xf>
    <xf numFmtId="167" fontId="5" fillId="0" borderId="12" xfId="21" applyNumberFormat="1" applyFont="1" applyBorder="1" applyAlignment="1">
      <alignment horizontal="center" vertical="center" wrapText="1"/>
    </xf>
    <xf numFmtId="168" fontId="5" fillId="0" borderId="12" xfId="21" applyNumberFormat="1" applyFont="1" applyBorder="1" applyAlignment="1">
      <alignment horizontal="center" vertical="center" wrapText="1"/>
    </xf>
    <xf numFmtId="166" fontId="5" fillId="0" borderId="12" xfId="21" applyFont="1" applyBorder="1" applyAlignment="1">
      <alignment horizontal="center" vertical="center" wrapText="1"/>
    </xf>
    <xf numFmtId="166" fontId="5" fillId="0" borderId="13" xfId="21" applyFont="1" applyBorder="1" applyAlignment="1">
      <alignment horizontal="center" vertical="center" wrapText="1"/>
    </xf>
    <xf numFmtId="166" fontId="5" fillId="0" borderId="14" xfId="21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right" vertical="center" wrapText="1"/>
      <protection/>
    </xf>
    <xf numFmtId="167" fontId="5" fillId="0" borderId="0" xfId="21" applyNumberFormat="1" applyFont="1" applyAlignment="1">
      <alignment horizontal="center" vertical="center" wrapText="1"/>
    </xf>
    <xf numFmtId="168" fontId="5" fillId="0" borderId="0" xfId="21" applyNumberFormat="1" applyFont="1" applyAlignment="1">
      <alignment horizontal="center" vertical="center" wrapText="1"/>
    </xf>
    <xf numFmtId="166" fontId="5" fillId="0" borderId="0" xfId="21" applyFont="1" applyAlignment="1">
      <alignment horizontal="center" vertical="center" wrapText="1"/>
    </xf>
    <xf numFmtId="166" fontId="5" fillId="0" borderId="15" xfId="21" applyFont="1" applyBorder="1" applyAlignment="1">
      <alignment horizontal="center" vertical="center" wrapText="1"/>
    </xf>
    <xf numFmtId="166" fontId="5" fillId="0" borderId="8" xfId="21" applyFont="1" applyBorder="1" applyAlignment="1">
      <alignment horizontal="center" vertical="center" wrapText="1"/>
    </xf>
    <xf numFmtId="0" fontId="7" fillId="0" borderId="0" xfId="20" applyFont="1">
      <alignment/>
      <protection/>
    </xf>
    <xf numFmtId="0" fontId="4" fillId="0" borderId="0" xfId="20" applyAlignment="1">
      <alignment horizontal="center" vertical="center" wrapText="1"/>
      <protection/>
    </xf>
    <xf numFmtId="14" fontId="4" fillId="0" borderId="0" xfId="20" applyNumberFormat="1" applyAlignment="1">
      <alignment horizontal="center" vertical="center" wrapText="1"/>
      <protection/>
    </xf>
    <xf numFmtId="0" fontId="8" fillId="0" borderId="0" xfId="22"/>
    <xf numFmtId="167" fontId="4" fillId="0" borderId="0" xfId="21" applyNumberFormat="1" applyAlignment="1">
      <alignment horizontal="center" vertical="center" wrapText="1"/>
    </xf>
    <xf numFmtId="168" fontId="4" fillId="0" borderId="0" xfId="21" applyNumberFormat="1" applyAlignment="1">
      <alignment horizontal="center" vertical="center" wrapText="1"/>
    </xf>
    <xf numFmtId="0" fontId="4" fillId="0" borderId="0" xfId="20" applyAlignment="1">
      <alignment horizontal="left" vertical="center" wrapText="1"/>
      <protection/>
    </xf>
    <xf numFmtId="0" fontId="0" fillId="0" borderId="0" xfId="23" applyFont="1" applyFill="1"/>
    <xf numFmtId="0" fontId="0" fillId="0" borderId="0" xfId="23" applyFont="1" applyFill="1" applyAlignment="1">
      <alignment horizontal="center" vertical="center"/>
    </xf>
    <xf numFmtId="14" fontId="0" fillId="0" borderId="0" xfId="23" applyNumberFormat="1" applyFont="1" applyFill="1" applyAlignment="1">
      <alignment horizontal="center" vertical="center"/>
    </xf>
    <xf numFmtId="0" fontId="0" fillId="0" borderId="0" xfId="23" applyFont="1" applyFill="1" applyAlignment="1">
      <alignment horizontal="left" vertical="center"/>
    </xf>
    <xf numFmtId="166" fontId="0" fillId="0" borderId="0" xfId="23" applyNumberFormat="1" applyFont="1" applyFill="1"/>
    <xf numFmtId="168" fontId="0" fillId="0" borderId="0" xfId="23" applyNumberFormat="1" applyFont="1" applyFill="1" applyAlignment="1">
      <alignment horizontal="center" vertical="center"/>
    </xf>
    <xf numFmtId="166" fontId="0" fillId="0" borderId="0" xfId="23" applyNumberFormat="1" applyFont="1" applyFill="1" applyAlignment="1">
      <alignment horizontal="center" vertical="center"/>
    </xf>
    <xf numFmtId="167" fontId="0" fillId="0" borderId="0" xfId="24" applyNumberFormat="1" applyFont="1"/>
    <xf numFmtId="0" fontId="5" fillId="0" borderId="0" xfId="23" applyFont="1" applyFill="1"/>
    <xf numFmtId="14" fontId="4" fillId="0" borderId="0" xfId="20" applyNumberFormat="1" applyAlignment="1">
      <alignment horizontal="center" vertical="center"/>
      <protection/>
    </xf>
    <xf numFmtId="167" fontId="10" fillId="0" borderId="0" xfId="20" applyNumberFormat="1" applyFont="1">
      <alignment/>
      <protection/>
    </xf>
    <xf numFmtId="167" fontId="10" fillId="0" borderId="0" xfId="24" applyNumberFormat="1" applyFont="1"/>
    <xf numFmtId="167" fontId="5" fillId="0" borderId="16" xfId="21" applyNumberFormat="1" applyFont="1" applyBorder="1" applyAlignment="1">
      <alignment horizontal="center" vertical="center" wrapText="1"/>
    </xf>
    <xf numFmtId="0" fontId="11" fillId="0" borderId="0" xfId="20" applyFont="1" applyAlignment="1">
      <alignment vertical="center" wrapText="1"/>
      <protection/>
    </xf>
    <xf numFmtId="169" fontId="4" fillId="0" borderId="0" xfId="20" applyNumberFormat="1" applyAlignment="1">
      <alignment horizontal="center" vertical="center"/>
      <protection/>
    </xf>
    <xf numFmtId="166" fontId="4" fillId="0" borderId="0" xfId="21" applyAlignment="1">
      <alignment horizontal="center" vertical="center" wrapText="1"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166" fontId="4" fillId="0" borderId="0" xfId="21"/>
    <xf numFmtId="0" fontId="12" fillId="9" borderId="17" xfId="20" applyFont="1" applyFill="1" applyBorder="1" applyAlignment="1">
      <alignment horizontal="left" vertical="center" wrapText="1"/>
      <protection/>
    </xf>
    <xf numFmtId="169" fontId="4" fillId="0" borderId="0" xfId="20" applyNumberFormat="1">
      <alignment/>
      <protection/>
    </xf>
    <xf numFmtId="167" fontId="4" fillId="0" borderId="0" xfId="21" applyNumberFormat="1"/>
    <xf numFmtId="170" fontId="4" fillId="0" borderId="0" xfId="20" applyNumberFormat="1">
      <alignment/>
      <protection/>
    </xf>
    <xf numFmtId="167" fontId="0" fillId="0" borderId="0" xfId="23" applyNumberFormat="1" applyFont="1" applyFill="1"/>
    <xf numFmtId="170" fontId="0" fillId="0" borderId="0" xfId="23" applyNumberFormat="1" applyFont="1" applyFill="1"/>
    <xf numFmtId="167" fontId="0" fillId="0" borderId="0" xfId="23" applyNumberFormat="1" applyFont="1" applyFill="1" applyAlignment="1">
      <alignment horizontal="center" vertical="center"/>
    </xf>
    <xf numFmtId="14" fontId="4" fillId="0" borderId="0" xfId="20" applyNumberFormat="1">
      <alignment/>
      <protection/>
    </xf>
    <xf numFmtId="167" fontId="4" fillId="0" borderId="0" xfId="20" applyNumberFormat="1">
      <alignment/>
      <protection/>
    </xf>
    <xf numFmtId="167" fontId="0" fillId="0" borderId="0" xfId="25" applyNumberFormat="1" applyFont="1"/>
    <xf numFmtId="0" fontId="12" fillId="0" borderId="17" xfId="20" applyFont="1" applyBorder="1" applyAlignment="1">
      <alignment horizontal="left" vertical="center" wrapText="1"/>
      <protection/>
    </xf>
    <xf numFmtId="0" fontId="4" fillId="0" borderId="0" xfId="20" applyAlignment="1">
      <alignment wrapText="1"/>
      <protection/>
    </xf>
    <xf numFmtId="166" fontId="4" fillId="0" borderId="0" xfId="26" applyNumberFormat="1" applyFill="1" applyAlignment="1">
      <alignment horizontal="center" vertical="center"/>
    </xf>
    <xf numFmtId="0" fontId="9" fillId="0" borderId="0" xfId="23" applyFill="1"/>
    <xf numFmtId="167" fontId="4" fillId="0" borderId="0" xfId="24" applyNumberFormat="1" applyAlignment="1">
      <alignment horizontal="center" vertical="center"/>
    </xf>
    <xf numFmtId="168" fontId="4" fillId="0" borderId="0" xfId="24" applyNumberFormat="1" applyAlignment="1">
      <alignment horizontal="center" vertical="center"/>
    </xf>
    <xf numFmtId="166" fontId="4" fillId="0" borderId="0" xfId="24" applyAlignment="1">
      <alignment horizontal="center" vertical="center"/>
    </xf>
    <xf numFmtId="0" fontId="5" fillId="0" borderId="18" xfId="20" applyFont="1" applyBorder="1" applyAlignment="1">
      <alignment vertical="center"/>
      <protection/>
    </xf>
    <xf numFmtId="0" fontId="4" fillId="0" borderId="4" xfId="20" applyBorder="1" applyAlignment="1">
      <alignment horizontal="center" vertical="center"/>
      <protection/>
    </xf>
    <xf numFmtId="0" fontId="4" fillId="0" borderId="6" xfId="20" applyBorder="1" applyAlignment="1">
      <alignment horizontal="center" vertical="center"/>
      <protection/>
    </xf>
    <xf numFmtId="0" fontId="5" fillId="0" borderId="19" xfId="20" applyFont="1" applyBorder="1" applyAlignment="1">
      <alignment vertical="center"/>
      <protection/>
    </xf>
    <xf numFmtId="0" fontId="4" fillId="0" borderId="7" xfId="20" applyBorder="1" applyAlignment="1">
      <alignment horizontal="center" vertical="center"/>
      <protection/>
    </xf>
    <xf numFmtId="0" fontId="4" fillId="0" borderId="8" xfId="20" applyBorder="1" applyAlignment="1">
      <alignment horizontal="center" vertical="center"/>
      <protection/>
    </xf>
    <xf numFmtId="0" fontId="6" fillId="8" borderId="20" xfId="20" applyFont="1" applyFill="1" applyBorder="1" applyAlignment="1">
      <alignment vertical="center"/>
      <protection/>
    </xf>
    <xf numFmtId="0" fontId="4" fillId="0" borderId="9" xfId="20" applyBorder="1" applyAlignment="1">
      <alignment horizontal="center" vertical="center"/>
      <protection/>
    </xf>
    <xf numFmtId="0" fontId="4" fillId="0" borderId="11" xfId="20" applyBorder="1" applyAlignment="1">
      <alignment horizontal="left" vertical="center"/>
      <protection/>
    </xf>
    <xf numFmtId="167" fontId="5" fillId="0" borderId="12" xfId="24" applyNumberFormat="1" applyFont="1" applyBorder="1" applyAlignment="1">
      <alignment horizontal="center" vertical="center" wrapText="1"/>
    </xf>
    <xf numFmtId="168" fontId="5" fillId="0" borderId="12" xfId="24" applyNumberFormat="1" applyFont="1" applyBorder="1" applyAlignment="1">
      <alignment horizontal="center" vertical="center" wrapText="1"/>
    </xf>
    <xf numFmtId="166" fontId="5" fillId="0" borderId="12" xfId="24" applyFont="1" applyBorder="1" applyAlignment="1">
      <alignment horizontal="center" vertical="center" wrapText="1"/>
    </xf>
    <xf numFmtId="167" fontId="5" fillId="0" borderId="0" xfId="24" applyNumberFormat="1" applyFont="1" applyAlignment="1">
      <alignment horizontal="center" vertical="center" wrapText="1"/>
    </xf>
    <xf numFmtId="168" fontId="5" fillId="0" borderId="0" xfId="24" applyNumberFormat="1" applyFont="1" applyAlignment="1">
      <alignment horizontal="center" vertical="center" wrapText="1"/>
    </xf>
    <xf numFmtId="166" fontId="5" fillId="0" borderId="0" xfId="24" applyFont="1" applyAlignment="1">
      <alignment horizontal="center" vertical="center" wrapText="1"/>
    </xf>
    <xf numFmtId="167" fontId="4" fillId="0" borderId="0" xfId="24" applyNumberFormat="1" applyAlignment="1">
      <alignment horizontal="center" vertical="center" wrapText="1"/>
    </xf>
    <xf numFmtId="168" fontId="4" fillId="0" borderId="0" xfId="24" applyNumberFormat="1" applyAlignment="1">
      <alignment horizontal="center" vertical="center" wrapText="1"/>
    </xf>
    <xf numFmtId="0" fontId="8" fillId="0" borderId="0" xfId="22" applyAlignment="1">
      <alignment vertical="center"/>
    </xf>
    <xf numFmtId="0" fontId="5" fillId="0" borderId="0" xfId="20" applyFont="1">
      <alignment/>
      <protection/>
    </xf>
    <xf numFmtId="167" fontId="5" fillId="0" borderId="16" xfId="24" applyNumberFormat="1" applyFont="1" applyBorder="1" applyAlignment="1">
      <alignment horizontal="center" vertical="center"/>
    </xf>
    <xf numFmtId="171" fontId="4" fillId="0" borderId="0" xfId="20" applyNumberFormat="1">
      <alignment/>
      <protection/>
    </xf>
    <xf numFmtId="0" fontId="4" fillId="0" borderId="15" xfId="20" applyBorder="1">
      <alignment/>
      <protection/>
    </xf>
    <xf numFmtId="14" fontId="4" fillId="0" borderId="0" xfId="20" applyNumberFormat="1" applyAlignment="1">
      <alignment horizontal="center"/>
      <protection/>
    </xf>
    <xf numFmtId="167" fontId="0" fillId="0" borderId="0" xfId="27" applyNumberFormat="1" applyFont="1"/>
    <xf numFmtId="0" fontId="0" fillId="0" borderId="0" xfId="28" applyNumberFormat="1" applyFont="1" applyFill="1"/>
    <xf numFmtId="165" fontId="0" fillId="0" borderId="0" xfId="18" applyNumberFormat="1" applyFont="1" applyFill="1"/>
    <xf numFmtId="165" fontId="4" fillId="0" borderId="0" xfId="18" applyNumberFormat="1" applyFont="1" applyAlignment="1">
      <alignment horizontal="center" vertical="center"/>
    </xf>
    <xf numFmtId="165" fontId="4" fillId="0" borderId="0" xfId="18" applyNumberFormat="1" applyFont="1"/>
    <xf numFmtId="165" fontId="0" fillId="0" borderId="0" xfId="18" applyNumberFormat="1" applyFont="1" applyFill="1" applyAlignment="1">
      <alignment horizontal="center" vertical="center"/>
    </xf>
    <xf numFmtId="165" fontId="0" fillId="0" borderId="0" xfId="18" applyNumberFormat="1" applyFont="1"/>
    <xf numFmtId="0" fontId="0" fillId="10" borderId="0" xfId="23" applyFont="1" applyFill="1" applyAlignment="1">
      <alignment horizontal="center" vertical="center"/>
    </xf>
    <xf numFmtId="0" fontId="2" fillId="11" borderId="21" xfId="0" applyFont="1" applyFill="1" applyBorder="1" applyAlignment="1">
      <alignment horizontal="center" vertical="top" wrapText="1"/>
    </xf>
    <xf numFmtId="0" fontId="2" fillId="12" borderId="21" xfId="0" applyFont="1" applyFill="1" applyBorder="1" applyAlignment="1">
      <alignment vertical="top" wrapText="1"/>
    </xf>
    <xf numFmtId="0" fontId="2" fillId="11" borderId="21" xfId="0" applyFont="1" applyFill="1" applyBorder="1" applyAlignment="1">
      <alignment vertical="top"/>
    </xf>
    <xf numFmtId="0" fontId="2" fillId="11" borderId="21" xfId="0" applyFont="1" applyFill="1" applyBorder="1" applyAlignment="1">
      <alignment horizontal="center" vertical="top"/>
    </xf>
    <xf numFmtId="0" fontId="2" fillId="11" borderId="21" xfId="0" applyFont="1" applyFill="1" applyBorder="1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2" fillId="11" borderId="23" xfId="0" applyFont="1" applyFill="1" applyBorder="1" applyAlignment="1">
      <alignment horizontal="left" vertical="top" wrapText="1"/>
    </xf>
    <xf numFmtId="0" fontId="2" fillId="11" borderId="21" xfId="0" applyFont="1" applyFill="1" applyBorder="1" applyAlignment="1">
      <alignment horizontal="left" vertical="top" wrapText="1"/>
    </xf>
    <xf numFmtId="0" fontId="2" fillId="11" borderId="23" xfId="0" applyFont="1" applyFill="1" applyBorder="1" applyAlignment="1">
      <alignment horizontal="center" vertical="top" wrapText="1"/>
    </xf>
    <xf numFmtId="0" fontId="2" fillId="11" borderId="23" xfId="0" applyFont="1" applyFill="1" applyBorder="1" applyAlignment="1">
      <alignment horizontal="center" vertical="top"/>
    </xf>
    <xf numFmtId="14" fontId="0" fillId="0" borderId="22" xfId="0" applyNumberFormat="1" applyBorder="1" applyAlignment="1">
      <alignment horizontal="center"/>
    </xf>
    <xf numFmtId="173" fontId="0" fillId="0" borderId="22" xfId="0" applyNumberFormat="1" applyBorder="1"/>
    <xf numFmtId="174" fontId="0" fillId="0" borderId="22" xfId="0" applyNumberFormat="1" applyBorder="1"/>
    <xf numFmtId="175" fontId="0" fillId="0" borderId="22" xfId="0" applyNumberFormat="1" applyBorder="1"/>
    <xf numFmtId="0" fontId="0" fillId="0" borderId="22" xfId="0" applyFill="1" applyBorder="1" applyAlignment="1">
      <alignment horizontal="left"/>
    </xf>
    <xf numFmtId="0" fontId="0" fillId="13" borderId="0" xfId="0" applyFill="1"/>
    <xf numFmtId="0" fontId="0" fillId="13" borderId="22" xfId="0" applyFill="1" applyBorder="1" applyAlignment="1">
      <alignment horizontal="center"/>
    </xf>
    <xf numFmtId="0" fontId="0" fillId="13" borderId="22" xfId="0" applyFill="1" applyBorder="1" applyAlignment="1">
      <alignment horizontal="left"/>
    </xf>
    <xf numFmtId="14" fontId="0" fillId="13" borderId="22" xfId="0" applyNumberFormat="1" applyFill="1" applyBorder="1" applyAlignment="1">
      <alignment horizontal="center"/>
    </xf>
    <xf numFmtId="173" fontId="0" fillId="13" borderId="22" xfId="0" applyNumberFormat="1" applyFill="1" applyBorder="1"/>
    <xf numFmtId="174" fontId="0" fillId="13" borderId="22" xfId="0" applyNumberFormat="1" applyFill="1" applyBorder="1"/>
    <xf numFmtId="175" fontId="0" fillId="13" borderId="22" xfId="0" applyNumberFormat="1" applyFill="1" applyBorder="1"/>
    <xf numFmtId="165" fontId="13" fillId="0" borderId="0" xfId="0" applyNumberFormat="1" applyFont="1"/>
    <xf numFmtId="10" fontId="0" fillId="0" borderId="0" xfId="15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13" fillId="0" borderId="25" xfId="0" applyFont="1" applyBorder="1"/>
    <xf numFmtId="165" fontId="13" fillId="0" borderId="25" xfId="0" applyNumberFormat="1" applyFont="1" applyBorder="1"/>
    <xf numFmtId="0" fontId="0" fillId="0" borderId="25" xfId="0" applyBorder="1"/>
    <xf numFmtId="0" fontId="0" fillId="0" borderId="0" xfId="0" applyAlignment="1">
      <alignment horizontal="center"/>
    </xf>
    <xf numFmtId="10" fontId="0" fillId="0" borderId="0" xfId="15" applyNumberFormat="1" applyFont="1"/>
    <xf numFmtId="2" fontId="0" fillId="0" borderId="0" xfId="0" applyNumberFormat="1"/>
    <xf numFmtId="0" fontId="14" fillId="0" borderId="0" xfId="0" applyFont="1" applyAlignment="1">
      <alignment horizontal="left"/>
    </xf>
    <xf numFmtId="14" fontId="14" fillId="1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wrapText="1"/>
    </xf>
    <xf numFmtId="165" fontId="14" fillId="0" borderId="0" xfId="18" applyNumberFormat="1" applyFont="1" quotePrefix="1"/>
    <xf numFmtId="165" fontId="14" fillId="0" borderId="0" xfId="18" applyNumberFormat="1" applyFont="1"/>
    <xf numFmtId="170" fontId="0" fillId="0" borderId="0" xfId="0" applyNumberFormat="1"/>
    <xf numFmtId="0" fontId="0" fillId="0" borderId="0" xfId="0" applyAlignment="1">
      <alignment horizontal="left" wrapText="1"/>
    </xf>
    <xf numFmtId="0" fontId="13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 wrapText="1"/>
    </xf>
    <xf numFmtId="165" fontId="13" fillId="0" borderId="26" xfId="18" applyNumberFormat="1" applyFont="1" applyBorder="1" applyAlignment="1">
      <alignment horizontal="left" wrapText="1"/>
    </xf>
    <xf numFmtId="1" fontId="0" fillId="0" borderId="0" xfId="15" applyNumberFormat="1" applyFont="1"/>
    <xf numFmtId="0" fontId="16" fillId="14" borderId="27" xfId="0" applyFont="1" applyFill="1" applyBorder="1" applyAlignment="1">
      <alignment horizontal="centerContinuous"/>
    </xf>
    <xf numFmtId="0" fontId="16" fillId="14" borderId="28" xfId="0" applyFont="1" applyFill="1" applyBorder="1" applyAlignment="1">
      <alignment horizontal="centerContinuous"/>
    </xf>
    <xf numFmtId="0" fontId="16" fillId="14" borderId="29" xfId="0" applyFont="1" applyFill="1" applyBorder="1" applyAlignment="1">
      <alignment horizontal="centerContinuous"/>
    </xf>
    <xf numFmtId="165" fontId="16" fillId="14" borderId="27" xfId="18" applyNumberFormat="1" applyFont="1" applyFill="1" applyBorder="1" applyAlignment="1">
      <alignment horizontal="center"/>
    </xf>
    <xf numFmtId="10" fontId="16" fillId="14" borderId="28" xfId="15" applyNumberFormat="1" applyFont="1" applyFill="1" applyBorder="1" applyAlignment="1">
      <alignment horizontal="center"/>
    </xf>
    <xf numFmtId="165" fontId="16" fillId="14" borderId="28" xfId="18" applyNumberFormat="1" applyFont="1" applyFill="1" applyBorder="1" applyAlignment="1">
      <alignment horizontal="center"/>
    </xf>
    <xf numFmtId="165" fontId="16" fillId="14" borderId="29" xfId="18" applyNumberFormat="1" applyFont="1" applyFill="1" applyBorder="1" applyAlignment="1">
      <alignment horizontal="center"/>
    </xf>
    <xf numFmtId="165" fontId="13" fillId="0" borderId="26" xfId="18" applyNumberFormat="1" applyFont="1" applyBorder="1" applyAlignment="1">
      <alignment horizontal="left"/>
    </xf>
    <xf numFmtId="10" fontId="13" fillId="0" borderId="26" xfId="15" applyNumberFormat="1" applyFont="1" applyBorder="1" applyAlignment="1">
      <alignment horizontal="left"/>
    </xf>
    <xf numFmtId="0" fontId="16" fillId="15" borderId="27" xfId="0" applyFont="1" applyFill="1" applyBorder="1" applyAlignment="1">
      <alignment horizontal="centerContinuous"/>
    </xf>
    <xf numFmtId="0" fontId="16" fillId="15" borderId="28" xfId="0" applyFont="1" applyFill="1" applyBorder="1" applyAlignment="1">
      <alignment horizontal="centerContinuous"/>
    </xf>
    <xf numFmtId="0" fontId="16" fillId="15" borderId="29" xfId="0" applyFont="1" applyFill="1" applyBorder="1" applyAlignment="1">
      <alignment horizontal="centerContinuous"/>
    </xf>
    <xf numFmtId="0" fontId="16" fillId="16" borderId="27" xfId="0" applyFont="1" applyFill="1" applyBorder="1" applyAlignment="1">
      <alignment horizontal="centerContinuous"/>
    </xf>
    <xf numFmtId="0" fontId="16" fillId="16" borderId="28" xfId="0" applyFont="1" applyFill="1" applyBorder="1" applyAlignment="1">
      <alignment horizontal="centerContinuous"/>
    </xf>
    <xf numFmtId="0" fontId="16" fillId="16" borderId="29" xfId="0" applyFont="1" applyFill="1" applyBorder="1" applyAlignment="1">
      <alignment horizontal="centerContinuous"/>
    </xf>
    <xf numFmtId="165" fontId="16" fillId="15" borderId="27" xfId="18" applyNumberFormat="1" applyFont="1" applyFill="1" applyBorder="1" applyAlignment="1">
      <alignment horizontal="center"/>
    </xf>
    <xf numFmtId="10" fontId="16" fillId="15" borderId="28" xfId="15" applyNumberFormat="1" applyFont="1" applyFill="1" applyBorder="1" applyAlignment="1">
      <alignment horizontal="center"/>
    </xf>
    <xf numFmtId="165" fontId="16" fillId="15" borderId="28" xfId="18" applyNumberFormat="1" applyFont="1" applyFill="1" applyBorder="1" applyAlignment="1">
      <alignment horizontal="center"/>
    </xf>
    <xf numFmtId="165" fontId="16" fillId="15" borderId="29" xfId="18" applyNumberFormat="1" applyFont="1" applyFill="1" applyBorder="1" applyAlignment="1">
      <alignment horizontal="center"/>
    </xf>
    <xf numFmtId="165" fontId="16" fillId="16" borderId="27" xfId="18" applyNumberFormat="1" applyFont="1" applyFill="1" applyBorder="1" applyAlignment="1">
      <alignment horizontal="center"/>
    </xf>
    <xf numFmtId="10" fontId="16" fillId="16" borderId="28" xfId="15" applyNumberFormat="1" applyFont="1" applyFill="1" applyBorder="1" applyAlignment="1">
      <alignment horizontal="center"/>
    </xf>
    <xf numFmtId="165" fontId="16" fillId="16" borderId="28" xfId="18" applyNumberFormat="1" applyFont="1" applyFill="1" applyBorder="1" applyAlignment="1">
      <alignment horizontal="center"/>
    </xf>
    <xf numFmtId="165" fontId="16" fillId="16" borderId="29" xfId="18" applyNumberFormat="1" applyFont="1" applyFill="1" applyBorder="1" applyAlignment="1">
      <alignment horizontal="center"/>
    </xf>
    <xf numFmtId="0" fontId="16" fillId="17" borderId="27" xfId="0" applyFont="1" applyFill="1" applyBorder="1" applyAlignment="1">
      <alignment horizontal="centerContinuous"/>
    </xf>
    <xf numFmtId="0" fontId="16" fillId="17" borderId="28" xfId="0" applyFont="1" applyFill="1" applyBorder="1" applyAlignment="1">
      <alignment horizontal="centerContinuous"/>
    </xf>
    <xf numFmtId="0" fontId="16" fillId="17" borderId="29" xfId="0" applyFont="1" applyFill="1" applyBorder="1" applyAlignment="1">
      <alignment horizontal="centerContinuous"/>
    </xf>
    <xf numFmtId="0" fontId="16" fillId="0" borderId="28" xfId="0" applyFont="1" applyBorder="1" applyAlignment="1">
      <alignment horizontal="centerContinuous"/>
    </xf>
    <xf numFmtId="0" fontId="17" fillId="18" borderId="27" xfId="0" applyFont="1" applyFill="1" applyBorder="1" applyAlignment="1">
      <alignment horizontal="centerContinuous"/>
    </xf>
    <xf numFmtId="0" fontId="17" fillId="18" borderId="28" xfId="0" applyFont="1" applyFill="1" applyBorder="1" applyAlignment="1">
      <alignment horizontal="centerContinuous"/>
    </xf>
    <xf numFmtId="0" fontId="17" fillId="18" borderId="29" xfId="0" applyFont="1" applyFill="1" applyBorder="1" applyAlignment="1">
      <alignment horizontal="centerContinuous"/>
    </xf>
    <xf numFmtId="0" fontId="18" fillId="19" borderId="27" xfId="0" applyFont="1" applyFill="1" applyBorder="1" applyAlignment="1">
      <alignment horizontal="centerContinuous"/>
    </xf>
    <xf numFmtId="0" fontId="18" fillId="19" borderId="28" xfId="0" applyFont="1" applyFill="1" applyBorder="1" applyAlignment="1">
      <alignment horizontal="centerContinuous"/>
    </xf>
    <xf numFmtId="0" fontId="18" fillId="19" borderId="29" xfId="0" applyFont="1" applyFill="1" applyBorder="1" applyAlignment="1">
      <alignment horizontal="centerContinuous"/>
    </xf>
    <xf numFmtId="0" fontId="16" fillId="20" borderId="27" xfId="0" applyFont="1" applyFill="1" applyBorder="1" applyAlignment="1">
      <alignment horizontal="centerContinuous"/>
    </xf>
    <xf numFmtId="0" fontId="16" fillId="20" borderId="28" xfId="0" applyFont="1" applyFill="1" applyBorder="1" applyAlignment="1">
      <alignment horizontal="centerContinuous"/>
    </xf>
    <xf numFmtId="0" fontId="16" fillId="20" borderId="29" xfId="0" applyFont="1" applyFill="1" applyBorder="1" applyAlignment="1">
      <alignment horizontal="centerContinuous"/>
    </xf>
    <xf numFmtId="0" fontId="17" fillId="21" borderId="27" xfId="0" applyFont="1" applyFill="1" applyBorder="1" applyAlignment="1">
      <alignment horizontal="centerContinuous"/>
    </xf>
    <xf numFmtId="0" fontId="17" fillId="21" borderId="28" xfId="0" applyFont="1" applyFill="1" applyBorder="1" applyAlignment="1">
      <alignment horizontal="centerContinuous"/>
    </xf>
    <xf numFmtId="165" fontId="16" fillId="22" borderId="27" xfId="18" applyNumberFormat="1" applyFont="1" applyFill="1" applyBorder="1" applyAlignment="1">
      <alignment horizontal="center"/>
    </xf>
    <xf numFmtId="10" fontId="16" fillId="22" borderId="28" xfId="15" applyNumberFormat="1" applyFont="1" applyFill="1" applyBorder="1" applyAlignment="1">
      <alignment horizontal="center"/>
    </xf>
    <xf numFmtId="165" fontId="16" fillId="22" borderId="28" xfId="18" applyNumberFormat="1" applyFont="1" applyFill="1" applyBorder="1" applyAlignment="1">
      <alignment horizontal="center"/>
    </xf>
    <xf numFmtId="165" fontId="16" fillId="22" borderId="29" xfId="18" applyNumberFormat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/>
    </xf>
    <xf numFmtId="165" fontId="17" fillId="18" borderId="27" xfId="18" applyNumberFormat="1" applyFont="1" applyFill="1" applyBorder="1" applyAlignment="1">
      <alignment horizontal="center"/>
    </xf>
    <xf numFmtId="10" fontId="17" fillId="18" borderId="28" xfId="15" applyNumberFormat="1" applyFont="1" applyFill="1" applyBorder="1" applyAlignment="1">
      <alignment horizontal="center"/>
    </xf>
    <xf numFmtId="165" fontId="17" fillId="18" borderId="28" xfId="18" applyNumberFormat="1" applyFont="1" applyFill="1" applyBorder="1" applyAlignment="1">
      <alignment horizontal="center"/>
    </xf>
    <xf numFmtId="165" fontId="17" fillId="18" borderId="29" xfId="18" applyNumberFormat="1" applyFont="1" applyFill="1" applyBorder="1" applyAlignment="1" applyProtection="1">
      <alignment horizontal="center"/>
      <protection locked="0"/>
    </xf>
    <xf numFmtId="165" fontId="18" fillId="19" borderId="27" xfId="18" applyNumberFormat="1" applyFont="1" applyFill="1" applyBorder="1" applyAlignment="1" applyProtection="1">
      <alignment horizontal="center"/>
      <protection locked="0"/>
    </xf>
    <xf numFmtId="165" fontId="18" fillId="19" borderId="28" xfId="18" applyNumberFormat="1" applyFont="1" applyFill="1" applyBorder="1" applyAlignment="1" applyProtection="1">
      <alignment horizontal="center"/>
      <protection locked="0"/>
    </xf>
    <xf numFmtId="165" fontId="18" fillId="19" borderId="29" xfId="18" applyNumberFormat="1" applyFont="1" applyFill="1" applyBorder="1" applyAlignment="1" applyProtection="1">
      <alignment horizontal="center"/>
      <protection locked="0"/>
    </xf>
    <xf numFmtId="165" fontId="16" fillId="20" borderId="27" xfId="18" applyNumberFormat="1" applyFont="1" applyFill="1" applyBorder="1" applyAlignment="1">
      <alignment horizontal="center"/>
    </xf>
    <xf numFmtId="10" fontId="16" fillId="20" borderId="28" xfId="15" applyNumberFormat="1" applyFont="1" applyFill="1" applyBorder="1" applyAlignment="1">
      <alignment horizontal="center"/>
    </xf>
    <xf numFmtId="165" fontId="16" fillId="20" borderId="28" xfId="18" applyNumberFormat="1" applyFont="1" applyFill="1" applyBorder="1" applyAlignment="1">
      <alignment horizontal="center"/>
    </xf>
    <xf numFmtId="165" fontId="16" fillId="20" borderId="29" xfId="18" applyNumberFormat="1" applyFont="1" applyFill="1" applyBorder="1" applyAlignment="1">
      <alignment horizontal="center"/>
    </xf>
    <xf numFmtId="165" fontId="17" fillId="21" borderId="27" xfId="18" applyNumberFormat="1" applyFont="1" applyFill="1" applyBorder="1" applyAlignment="1">
      <alignment horizontal="center"/>
    </xf>
    <xf numFmtId="10" fontId="17" fillId="21" borderId="28" xfId="15" applyNumberFormat="1" applyFont="1" applyFill="1" applyBorder="1" applyAlignment="1">
      <alignment horizontal="center"/>
    </xf>
    <xf numFmtId="165" fontId="17" fillId="21" borderId="28" xfId="18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left"/>
    </xf>
    <xf numFmtId="165" fontId="19" fillId="0" borderId="0" xfId="18" applyNumberFormat="1" applyFont="1" applyAlignment="1">
      <alignment horizontal="left"/>
    </xf>
    <xf numFmtId="165" fontId="0" fillId="0" borderId="0" xfId="18" applyNumberFormat="1" applyFont="1" applyProtection="1">
      <protection locked="0"/>
    </xf>
    <xf numFmtId="2" fontId="0" fillId="0" borderId="0" xfId="0" applyNumberFormat="1" applyProtection="1">
      <protection locked="0"/>
    </xf>
    <xf numFmtId="165" fontId="0" fillId="0" borderId="30" xfId="18" applyNumberFormat="1" applyFont="1" applyBorder="1"/>
    <xf numFmtId="10" fontId="0" fillId="0" borderId="31" xfId="15" applyNumberFormat="1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Hyperlink" xfId="22"/>
    <cellStyle name="Neutral 2" xfId="23"/>
    <cellStyle name="Comma 10" xfId="24"/>
    <cellStyle name="Comma 2 25" xfId="25"/>
    <cellStyle name="40% - Accent4 2" xfId="26"/>
    <cellStyle name="Comma 18" xfId="27"/>
    <cellStyle name="20% - Accent1 4 3 2" xfId="28"/>
  </cellStyles>
  <dxfs count="19"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ont>
        <b/>
        <i val="0"/>
      </font>
      <fill>
        <patternFill>
          <bgColor rgb="FFFF999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0</xdr:row>
      <xdr:rowOff>0</xdr:rowOff>
    </xdr:from>
    <xdr:ext cx="1704975" cy="542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1704975" cy="542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838200</xdr:colOff>
      <xdr:row>0</xdr:row>
      <xdr:rowOff>0</xdr:rowOff>
    </xdr:from>
    <xdr:ext cx="828675" cy="457200"/>
    <xdr:pic>
      <xdr:nvPicPr>
        <xdr:cNvPr id="3" name="Picture 2" descr="C:\Users\ejackson\AppData\Local\Microsoft\Windows\INetCache\Content.Outlook\87DE72RJ\Indo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28675" cy="4572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0</xdr:row>
      <xdr:rowOff>0</xdr:rowOff>
    </xdr:from>
    <xdr:ext cx="1704975" cy="542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1704975" cy="542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838200</xdr:colOff>
      <xdr:row>0</xdr:row>
      <xdr:rowOff>0</xdr:rowOff>
    </xdr:from>
    <xdr:ext cx="828675" cy="457200"/>
    <xdr:pic>
      <xdr:nvPicPr>
        <xdr:cNvPr id="3" name="Picture 2" descr="C:\Users\ejackson\AppData\Local\Microsoft\Windows\INetCache\Content.Outlook\87DE72RJ\Indo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828675" cy="4572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1</xdr:row>
      <xdr:rowOff>9525</xdr:rowOff>
    </xdr:from>
    <xdr:ext cx="1714500" cy="542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6675"/>
          <a:ext cx="1714500" cy="542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581025</xdr:colOff>
      <xdr:row>1</xdr:row>
      <xdr:rowOff>57150</xdr:rowOff>
    </xdr:from>
    <xdr:ext cx="828675" cy="457200"/>
    <xdr:pic>
      <xdr:nvPicPr>
        <xdr:cNvPr id="3" name="Picture 2" descr="C:\Users\ejackson\AppData\Local\Microsoft\Windows\INetCache\Content.Outlook\87DE72RJ\Indo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14300"/>
          <a:ext cx="828675" cy="4572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352425</xdr:rowOff>
    </xdr:from>
    <xdr:to>
      <xdr:col>3</xdr:col>
      <xdr:colOff>609600</xdr:colOff>
      <xdr:row>2</xdr:row>
      <xdr:rowOff>295275</xdr:rowOff>
    </xdr:to>
    <xdr:sp macro="[1]!BB_Updates" textlink="">
      <xdr:nvSpPr>
        <xdr:cNvPr id="2" name="Rectangle: Rounded Corners 1"/>
        <xdr:cNvSpPr/>
      </xdr:nvSpPr>
      <xdr:spPr>
        <a:xfrm>
          <a:off x="2362200" y="542925"/>
          <a:ext cx="76200" cy="1381125"/>
        </a:xfrm>
        <a:prstGeom prst="roundRect">
          <a:avLst/>
        </a:prstGeom>
        <a:ln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Refresh Bloomberg Data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UND%20MANAGEMENT\QUOTED\Investment%20Allocations\2019\12.%20December\2019.12.31%20-%20Quoted%20Funds%20Investment%20Allocatio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ter Summary"/>
      <sheetName val="Compliance"/>
      <sheetName val="Rules Summary"/>
      <sheetName val="Coholdings"/>
      <sheetName val="Summary"/>
      <sheetName val="Compliance Checks"/>
      <sheetName val="GH Transfer"/>
      <sheetName val="Takeover Panel"/>
      <sheetName val="Prior Day"/>
      <sheetName val="Import sheet"/>
      <sheetName val="Regulated Stocks"/>
      <sheetName val="Overrides"/>
      <sheetName val="Compliance Check - OLD"/>
      <sheetName val="Compliance Check"/>
      <sheetName val="Index"/>
      <sheetName val="Calcs"/>
      <sheetName val="EF Shares"/>
      <sheetName val="BSVT"/>
      <sheetName val="BVT"/>
      <sheetName val="Micro Cap"/>
      <sheetName val="Multi Cap"/>
      <sheetName val="Small Cap"/>
      <sheetName val="2019.12"/>
    </sheetNames>
    <definedNames>
      <definedName name="BB_Updat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76" refreshedBy="Masrur Rahman" refreshedVersion="6">
  <cacheSource type="worksheet">
    <worksheetSource ref="B2:AH578" sheet="Blotter 2019 - Cleansed"/>
  </cacheSource>
  <cacheFields count="33">
    <cacheField name="Client Name">
      <sharedItems containsMixedTypes="0" count="9">
        <s v="GRESHAM HOUSE UK MULTI CAP"/>
        <s v="GRESHAM HOUSE UK MICRO CAP"/>
        <s v="GRESHAM HOUSE UK SMALLER COMPANIES"/>
        <s v="LF Gresham House UK Micro Cap Fund"/>
        <s v="LF GRESHAM HOUSE UK MICRO CAP"/>
        <s v="LF Gresham House UK Smaller Companies Fund"/>
        <s v="GRESHAM HOUSE UK MULTI CAP INCOME FUND"/>
        <s v="GRESHAM HOUSE UK MICRO CAP FUND"/>
        <s v="GRESHAM HOUSE UK MULTI CAP FUND"/>
      </sharedItems>
    </cacheField>
    <cacheField name="Date" numFmtId="14">
      <sharedItems containsSemiMixedTypes="0" containsNonDate="0" containsDate="1" containsString="0" containsMixedTypes="0" count="0"/>
    </cacheField>
    <cacheField name="Account ID">
      <sharedItems containsMixedTypes="0" count="0"/>
    </cacheField>
    <cacheField name="Client Trade Ref No.">
      <sharedItems containsBlank="1" containsMixedTypes="0" count="0"/>
    </cacheField>
    <cacheField name="Confirmed/ Unconfirmed/ Amended">
      <sharedItems containsMixedTypes="0" count="0"/>
    </cacheField>
    <cacheField name="Cancelled  Y/N">
      <sharedItems containsMixedTypes="0" count="0"/>
    </cacheField>
    <cacheField name="Broker">
      <sharedItems containsMixedTypes="0" count="28">
        <s v="ARDEN PARTNERS"/>
        <s v="CENKOS"/>
        <s v="N+1 SINGER"/>
        <s v="NUMIS"/>
        <s v="CANACCORD"/>
        <s v="FINNCAP"/>
        <s v="ZEUS"/>
        <s v="LIBERUM"/>
        <s v="SHORE CAP"/>
        <s v="PEEL HUNT"/>
        <s v="STOCKDALE"/>
        <s v="DOWGATE"/>
        <s v="WINTERFLOOD"/>
        <s v="INVESTEC"/>
        <s v="CANTOR FITZGERALD"/>
        <s v="BERENBERG"/>
        <s v="WH IRELAND"/>
        <s v="JEFFERIES"/>
        <s v="N+SINGER"/>
        <s v="LIBEUM CAPITAL"/>
        <s v="CANACCORD GENUITY"/>
        <s v="PEELHUNT"/>
        <s v="SHORE CAPITAL"/>
        <s v="WINTERFLOODD"/>
        <s v="CANNACORD"/>
        <s v="WINTERFLOO"/>
        <s v="SHORECAP"/>
        <s v="ZEUS CAPITAL"/>
      </sharedItems>
    </cacheField>
    <cacheField name="Trade Date DD/MM/YY" numFmtId="14">
      <sharedItems containsDate="1" containsString="0" containsBlank="1" containsMixedTypes="0" count="0"/>
    </cacheField>
    <cacheField name="Trade Execution Time HH:MM:SS (GMT)" numFmtId="164">
      <sharedItems containsDate="1" containsString="0" containsBlank="1" containsMixedTypes="0" count="0"/>
    </cacheField>
    <cacheField name="Settle Date DD/MM/YY" numFmtId="14">
      <sharedItems containsSemiMixedTypes="0" containsNonDate="0" containsDate="1" containsString="0" containsMixedTypes="0" count="0"/>
    </cacheField>
    <cacheField name="Asset Type">
      <sharedItems containsBlank="1" containsMixedTypes="0" count="0"/>
    </cacheField>
    <cacheField name="Security Identifier CUSIP">
      <sharedItems containsString="0" containsBlank="1" containsMixedTypes="1" count="0"/>
    </cacheField>
    <cacheField name="Security Identifier SEDOL">
      <sharedItems containsBlank="1" containsMixedTypes="0" count="0"/>
    </cacheField>
    <cacheField name="Security Identifier ISIN">
      <sharedItems containsMixedTypes="0" count="0"/>
    </cacheField>
    <cacheField name="Security Description">
      <sharedItems containsMixedTypes="0" count="0"/>
    </cacheField>
    <cacheField name="Factored Bond Y / N">
      <sharedItems containsBlank="1" containsMixedTypes="0" count="0"/>
    </cacheField>
    <cacheField name="Placing Y / N">
      <sharedItems containsBlank="1" containsMixedTypes="0" count="0"/>
    </cacheField>
    <cacheField name="Placing to be booked at cost Y / N">
      <sharedItems containsBlank="1" containsMixedTypes="0" count="0"/>
    </cacheField>
    <cacheField name="Coupon  Rate">
      <sharedItems containsString="0" containsBlank="1" containsMixedTypes="1" count="0"/>
    </cacheField>
    <cacheField name="Issue Date DD/MM/YY">
      <sharedItems containsString="0" containsBlank="1" containsMixedTypes="1" count="0"/>
    </cacheField>
    <cacheField name="Maturity Date DD/MM/YY">
      <sharedItems containsString="0" containsBlank="1" containsMixedTypes="1" count="0"/>
    </cacheField>
    <cacheField name="Transaction Code">
      <sharedItems containsMixedTypes="0" count="0"/>
    </cacheField>
    <cacheField name="Quantity / Original Face">
      <sharedItems containsSemiMixedTypes="0" containsString="0" containsMixedTypes="0" containsNumber="1" containsInteger="1" count="0"/>
    </cacheField>
    <cacheField name="Current Face">
      <sharedItems containsSemiMixedTypes="0" containsString="0" containsMixedTypes="0" containsNumber="1" containsInteger="1" count="0"/>
    </cacheField>
    <cacheField name="Price">
      <sharedItems containsMixedTypes="0" count="0"/>
    </cacheField>
    <cacheField name="Net Principal (local)">
      <sharedItems containsMixedTypes="0" count="0"/>
    </cacheField>
    <cacheField name="Gross Principal (local)">
      <sharedItems containsMixedTypes="0" count="0"/>
    </cacheField>
    <cacheField name="Commission (local)">
      <sharedItems containsMixedTypes="0" count="0"/>
    </cacheField>
    <cacheField name="Interest (local)">
      <sharedItems containsMixedTypes="0" count="0"/>
    </cacheField>
    <cacheField name="Fees/Trade Expense (local)">
      <sharedItems containsMixedTypes="0" count="0"/>
    </cacheField>
    <cacheField name="Trade Currency">
      <sharedItems containsMixedTypes="0" count="0"/>
    </cacheField>
    <cacheField name="Settle Currency">
      <sharedItems containsMixedTypes="0" count="0"/>
    </cacheField>
    <cacheField name="Net Settle Amount">
      <sharedItems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102" refreshedBy="Masrur Rahman" refreshedVersion="6">
  <cacheSource type="worksheet">
    <worksheetSource ref="B5:P107" sheet="GHS + SPE"/>
  </cacheSource>
  <cacheFields count="15">
    <cacheField name="Fund">
      <sharedItems containsBlank="1" containsMixedTypes="0" count="3">
        <m/>
        <s v="GHS"/>
        <s v="SPE"/>
      </sharedItems>
    </cacheField>
    <cacheField name="Instrument">
      <sharedItems containsBlank="1" containsMixedTypes="0" count="0"/>
    </cacheField>
    <cacheField name="ISIN">
      <sharedItems containsBlank="1" containsMixedTypes="0" count="0"/>
    </cacheField>
    <cacheField name="Type">
      <sharedItems containsBlank="1" containsMixedTypes="0" count="0"/>
    </cacheField>
    <cacheField name="Settlement Date">
      <sharedItems containsDate="1" containsBlank="1" containsMixedTypes="1" count="0"/>
    </cacheField>
    <cacheField name="Trade Date (Execution Date)">
      <sharedItems containsDate="1" containsString="0" containsBlank="1" containsMixedTypes="0" count="0"/>
    </cacheField>
    <cacheField name="Counterparty">
      <sharedItems containsBlank="1" containsMixedTypes="0" count="0"/>
    </cacheField>
    <cacheField name="Counterparty Full Name">
      <sharedItems containsBlank="1" containsMixedTypes="0" count="9">
        <m/>
        <s v="Stockdale"/>
        <s v="Shore Capital"/>
        <s v="Winter Flood Brokers"/>
        <s v="N+1 Singer"/>
        <s v="Cantor Fitzgerald"/>
        <s v="Numis"/>
        <s v="PEEL HUNT"/>
        <s v="Numis Securities"/>
      </sharedItems>
    </cacheField>
    <cacheField name="CP Settlement Contact">
      <sharedItems containsBlank="1" containsMixedTypes="0" count="0"/>
    </cacheField>
    <cacheField name="Quantity">
      <sharedItems containsString="0" containsBlank="1" containsMixedTypes="0" containsNumber="1" containsInteger="1" count="0"/>
    </cacheField>
    <cacheField name="Price">
      <sharedItems containsString="0" containsBlank="1" containsMixedTypes="0" containsNumber="1" containsInteger="1" count="0"/>
    </cacheField>
    <cacheField name="Gross Settlement" numFmtId="166">
      <sharedItems containsString="0" containsBlank="1" containsMixedTypes="0" containsNumber="1" containsInteger="1" count="0"/>
    </cacheField>
    <cacheField name="Fees" numFmtId="166">
      <sharedItems containsString="0" containsBlank="1" containsMixedTypes="0" containsNumber="1" containsInteger="1" count="0"/>
    </cacheField>
    <cacheField name="Settlement Amount" numFmtId="166">
      <sharedItems containsString="0" containsBlank="1" containsMixedTypes="0" containsNumber="1" containsInteger="1" count="0"/>
    </cacheField>
    <cacheField name="Comments">
      <sharedItems containsString="0" containsBlank="1" containsMixedTypes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54" refreshedBy="Masrur Rahman" refreshedVersion="6">
  <cacheSource type="worksheet">
    <worksheetSource ref="B6:S60" sheet="VCT"/>
  </cacheSource>
  <cacheFields count="18">
    <cacheField name="Broker">
      <sharedItems containsMixedTypes="0" count="8">
        <s v="Arden Partners"/>
        <s v="CENKOS"/>
        <s v="FinnCap"/>
        <s v="Winterflood"/>
        <s v="Dowgate"/>
        <s v="Canaccord"/>
        <s v="ShoreCap"/>
        <s v="Written off"/>
      </sharedItems>
    </cacheField>
    <cacheField name="#">
      <sharedItems containsSemiMixedTypes="0" containsString="0" containsMixedTypes="0" containsNumber="1" containsInteger="1" count="0"/>
    </cacheField>
    <cacheField name="Company Share Class ID">
      <sharedItems containsSemiMixedTypes="0" containsString="0" containsMixedTypes="0" containsNumber="1" containsInteger="1" count="0"/>
    </cacheField>
    <cacheField name="Company">
      <sharedItems containsMixedTypes="0" count="0"/>
    </cacheField>
    <cacheField name="Fund">
      <sharedItems containsMixedTypes="0" count="2">
        <s v="BVT"/>
        <s v="BSVT"/>
      </sharedItems>
    </cacheField>
    <cacheField name="Investment Type">
      <sharedItems containsMixedTypes="0" count="0"/>
    </cacheField>
    <cacheField name="Share Class">
      <sharedItems containsMixedTypes="0" count="0"/>
    </cacheField>
    <cacheField name="Date Completed" numFmtId="14">
      <sharedItems containsSemiMixedTypes="0" containsNonDate="0" containsDate="1" containsString="0" containsMixedTypes="0" count="0"/>
    </cacheField>
    <cacheField name="Settlement Date" numFmtId="14">
      <sharedItems containsSemiMixedTypes="0" containsNonDate="0" containsDate="1" containsString="0" containsMixedTypes="0" count="0"/>
    </cacheField>
    <cacheField name="Qualifying/Non-Qualifying" numFmtId="14">
      <sharedItems containsMixedTypes="0" count="0"/>
    </cacheField>
    <cacheField name="Transaction Type" numFmtId="14">
      <sharedItems containsMixedTypes="0" count="0"/>
    </cacheField>
    <cacheField name="Shares" numFmtId="173">
      <sharedItems containsSemiMixedTypes="0" containsString="0" containsMixedTypes="0" containsNumber="1" containsInteger="1" count="0"/>
    </cacheField>
    <cacheField name="Cost" numFmtId="173">
      <sharedItems containsSemiMixedTypes="0" containsString="0" containsMixedTypes="0" containsNumber="1" containsInteger="1" count="0"/>
    </cacheField>
    <cacheField name="Cost Price Per Unit" numFmtId="174">
      <sharedItems containsSemiMixedTypes="0" containsString="0" containsMixedTypes="0" containsNumber="1" containsInteger="1" count="0"/>
    </cacheField>
    <cacheField name="Value" numFmtId="173">
      <sharedItems containsSemiMixedTypes="0" containsString="0" containsMixedTypes="0" containsNumber="1" containsInteger="1" count="0"/>
    </cacheField>
    <cacheField name="Sale Price Per Unit" numFmtId="174">
      <sharedItems containsMixedTypes="1" containsNumber="1" containsInteger="1" count="0"/>
    </cacheField>
    <cacheField name="Multiple" numFmtId="175">
      <sharedItems containsMixedTypes="1" containsNumber="1" containsInteger="1" count="0"/>
    </cacheField>
    <cacheField name="Profit/(Loss)" numFmtId="173">
      <sharedItems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d v="2019-01-17T00:00:00.000"/>
    <s v="3000291"/>
    <s v="000401"/>
    <s v="Confirmed"/>
    <s v="N"/>
    <x v="0"/>
    <d v="2019-01-16T00:00:00.000"/>
    <d v="1899-12-30T11:12:00.000"/>
    <d v="2019-01-18T00:00:00.000"/>
    <s v="EQ"/>
    <m/>
    <s v="0417008"/>
    <s v="GB0004170089"/>
    <s v="HEADLAM GROUP PLC"/>
    <s v="N"/>
    <s v="N"/>
    <s v="N/A"/>
    <m/>
    <m/>
    <m/>
    <s v="SELL"/>
    <n v="114600"/>
    <n v="114600"/>
    <s v="3.938"/>
    <s v="451294.8"/>
    <s v="450391.2104"/>
    <s v="902.5896"/>
    <s v="0"/>
    <s v="1"/>
    <s v="GBP"/>
    <s v="GBP"/>
    <s v="450391.2104"/>
  </r>
  <r>
    <x v="1"/>
    <d v="2019-01-18T00:00:00.000"/>
    <s v="3000290"/>
    <s v="000470"/>
    <s v="Confirmed"/>
    <s v="N"/>
    <x v="1"/>
    <d v="2019-01-17T00:00:00.000"/>
    <d v="1899-12-30T16:46:57.000"/>
    <d v="2019-01-21T00:00:00.000"/>
    <s v="EQ"/>
    <m/>
    <s v="BF0HYJ2"/>
    <s v="GB00BF0HYJ24"/>
    <s v="ARENA EVENTS"/>
    <s v="N"/>
    <s v="N"/>
    <s v="N/A"/>
    <m/>
    <m/>
    <m/>
    <s v="BUY"/>
    <n v="2887160"/>
    <n v="2887160"/>
    <s v="0.39"/>
    <s v="1125992.4"/>
    <s v="1128245.385"/>
    <s v="2251.9848"/>
    <s v="0"/>
    <s v="1"/>
    <s v="GBP"/>
    <s v="GBP"/>
    <n v="1128245.385"/>
  </r>
  <r>
    <x v="0"/>
    <d v="2019-01-18T00:00:00.000"/>
    <s v="3000291"/>
    <s v="000402"/>
    <s v="Confirmed"/>
    <s v="N"/>
    <x v="1"/>
    <d v="2019-01-17T00:00:00.000"/>
    <d v="1899-12-30T16:46:57.000"/>
    <d v="2019-01-21T00:00:00.000"/>
    <s v="EQ"/>
    <m/>
    <s v="BF0HYJ2"/>
    <s v="GB00BF0HYJ24"/>
    <s v="ARENA EVENTS"/>
    <s v="N"/>
    <s v="N"/>
    <s v="N/A"/>
    <m/>
    <m/>
    <m/>
    <s v="BUY"/>
    <n v="582840"/>
    <n v="582840"/>
    <s v="0.39"/>
    <s v="227307.6"/>
    <s v="227763.2152"/>
    <s v="454.6152"/>
    <s v="0"/>
    <s v="1"/>
    <s v="GBP"/>
    <s v="GBP"/>
    <n v="227763.2152"/>
  </r>
  <r>
    <x v="0"/>
    <d v="2019-01-25T00:00:00.000"/>
    <s v="3000291"/>
    <s v="000403"/>
    <s v="Confirmed"/>
    <s v="N"/>
    <x v="1"/>
    <d v="2019-01-24T00:00:00.000"/>
    <d v="1899-12-30T16:02:33.000"/>
    <d v="2019-01-28T00:00:00.000"/>
    <s v="EQ"/>
    <m/>
    <s v="B031076"/>
    <s v="GB00B0310763"/>
    <s v="CELLO HEALTH PLC"/>
    <s v="N"/>
    <s v="N"/>
    <s v="N/A"/>
    <m/>
    <m/>
    <m/>
    <s v="BUY"/>
    <n v="50000"/>
    <n v="50000"/>
    <s v="1.035"/>
    <s v="51750"/>
    <s v="51854.5"/>
    <s v="103.5"/>
    <s v="0"/>
    <s v="1"/>
    <s v="GBP"/>
    <s v="GBP"/>
    <n v="51854.5"/>
  </r>
  <r>
    <x v="1"/>
    <d v="2019-02-06T00:00:00.000"/>
    <s v="3000290"/>
    <s v="000471"/>
    <s v="Confirmed"/>
    <s v="N"/>
    <x v="2"/>
    <d v="2019-02-05T00:00:00.000"/>
    <d v="1899-12-30T12:10:00.000"/>
    <d v="2019-02-07T00:00:00.000"/>
    <s v="EQ"/>
    <m/>
    <s v="BFYF629"/>
    <s v="GB00BFYF6298"/>
    <s v="KNIGHTS GROUP HOLDINGS PLC"/>
    <s v="N"/>
    <s v="N"/>
    <s v="N/A"/>
    <m/>
    <m/>
    <m/>
    <s v="SELL"/>
    <n v="25000"/>
    <n v="25000"/>
    <s v="2.85"/>
    <s v="71250"/>
    <s v="71106.5"/>
    <s v="142.5"/>
    <s v="0"/>
    <s v="1"/>
    <s v="GBP"/>
    <s v="GBP"/>
    <n v="71106.5"/>
  </r>
  <r>
    <x v="1"/>
    <d v="2019-02-06T00:00:00.000"/>
    <s v="3000290"/>
    <s v="000472"/>
    <s v="Confirmed"/>
    <s v="N"/>
    <x v="3"/>
    <d v="2019-02-05T00:00:00.000"/>
    <d v="1899-12-30T13:24:53.000"/>
    <d v="2019-02-07T00:00:00.000"/>
    <s v="EQ"/>
    <m/>
    <s v="BFYF629"/>
    <s v="GB00BFYF6298"/>
    <s v="KNIGHTS GROUP HOLDINGS PLC"/>
    <s v="N"/>
    <s v="N"/>
    <s v="N/A"/>
    <m/>
    <m/>
    <m/>
    <s v="SELL"/>
    <n v="660000"/>
    <n v="660000"/>
    <s v="2.8"/>
    <s v="1848000"/>
    <s v="1844303"/>
    <s v="3696"/>
    <s v="0"/>
    <s v="1"/>
    <s v="GBP"/>
    <s v="GBP"/>
    <n v="1844303"/>
  </r>
  <r>
    <x v="0"/>
    <d v="2019-02-13T00:00:00.000"/>
    <s v="3000291"/>
    <s v="000404"/>
    <s v="Confirmed"/>
    <s v="N"/>
    <x v="4"/>
    <d v="2019-02-12T00:00:00.000"/>
    <d v="1899-12-30T16:03:07.000"/>
    <d v="2019-02-14T00:00:00.000"/>
    <s v="EQ"/>
    <m/>
    <s v="B0MT3Y9"/>
    <s v="GB00B0MT3Y97"/>
    <s v="MATTIOLI WOODS PLC"/>
    <s v="N"/>
    <s v="N"/>
    <s v="N/A"/>
    <m/>
    <m/>
    <m/>
    <s v="BUY"/>
    <n v="18500"/>
    <n v="18500"/>
    <s v="7.25"/>
    <s v="134125"/>
    <s v="134394.25"/>
    <s v="268.25"/>
    <s v="0"/>
    <s v="1"/>
    <s v="GBP"/>
    <s v="GBP"/>
    <n v="134394.25"/>
  </r>
  <r>
    <x v="0"/>
    <d v="2019-02-13T00:00:00.000"/>
    <s v="3000291"/>
    <s v="000405"/>
    <s v="Confirmed"/>
    <s v="N"/>
    <x v="3"/>
    <d v="2019-02-12T00:00:00.000"/>
    <d v="1899-12-30T16:38:24.000"/>
    <d v="2019-02-14T00:00:00.000"/>
    <s v="EQ"/>
    <m/>
    <s v="BMTRW10"/>
    <s v="LU1072616219"/>
    <s v="B&amp;M EUROPEAN VALUE RETAIL S.A."/>
    <s v="N"/>
    <s v="N"/>
    <s v="N/A"/>
    <m/>
    <m/>
    <m/>
    <s v="BUY"/>
    <n v="159000"/>
    <n v="159000"/>
    <s v="3.238667"/>
    <s v="514948.053"/>
    <s v="515463.0011"/>
    <s v="514.948053"/>
    <s v="0"/>
    <s v="0"/>
    <s v="GBP"/>
    <s v="GBP"/>
    <n v="515463.0011"/>
  </r>
  <r>
    <x v="1"/>
    <d v="2019-02-15T00:00:00.000"/>
    <s v="3000290"/>
    <s v="000473"/>
    <s v="Confirmed"/>
    <s v="N"/>
    <x v="2"/>
    <d v="2019-02-14T00:00:00.000"/>
    <d v="1899-12-30T16:36:00.000"/>
    <d v="2019-02-18T00:00:00.000"/>
    <s v="EQ"/>
    <m/>
    <s v="B5NR1S7"/>
    <s v="GB00B5NR1S72"/>
    <s v="RESTORE PLC"/>
    <s v="N"/>
    <s v="N"/>
    <s v="N/A"/>
    <m/>
    <m/>
    <m/>
    <s v="BUY"/>
    <n v="440000"/>
    <n v="440000"/>
    <s v="3.05"/>
    <s v="1342000"/>
    <s v="1344685"/>
    <s v="2684"/>
    <s v="0"/>
    <s v="1"/>
    <s v="GBP"/>
    <s v="GBP"/>
    <n v="1344685"/>
  </r>
  <r>
    <x v="2"/>
    <d v="2019-02-18T00:00:00.000"/>
    <s v="3000292"/>
    <s v="000001"/>
    <s v="Confirmed"/>
    <s v="N"/>
    <x v="3"/>
    <d v="2019-02-15T00:00:00.000"/>
    <d v="1899-12-30T15:53:04.000"/>
    <d v="2019-02-19T00:00:00.000"/>
    <s v="EQ"/>
    <m/>
    <s v="BF16C05"/>
    <s v="GB00BF16C058"/>
    <s v="ALPHA FINANCIAL MARKETS CONSULTING PLC"/>
    <s v="N"/>
    <s v="N"/>
    <s v="N/A"/>
    <m/>
    <m/>
    <m/>
    <s v="BUY"/>
    <n v="10500"/>
    <n v="10500"/>
    <s v="2.42"/>
    <s v="25410"/>
    <s v="25461.82"/>
    <s v="50.82"/>
    <s v="0"/>
    <s v="1"/>
    <s v="GBP"/>
    <s v="GBP"/>
    <n v="25461.82"/>
  </r>
  <r>
    <x v="2"/>
    <d v="2019-02-18T00:00:00.000"/>
    <s v="3000292"/>
    <s v="000002"/>
    <s v="Confirmed"/>
    <s v="N"/>
    <x v="1"/>
    <d v="2019-02-15T00:00:00.000"/>
    <d v="1899-12-30T16:09:23.000"/>
    <d v="2019-02-19T00:00:00.000"/>
    <s v="EQ"/>
    <m/>
    <s v="BDB7J92"/>
    <s v="GB00BDB7J920"/>
    <s v="FILTA GROUP HOLDINGS PLC"/>
    <s v="N"/>
    <s v="N"/>
    <s v="N/A"/>
    <m/>
    <m/>
    <m/>
    <s v="BUY"/>
    <n v="10800"/>
    <n v="10800"/>
    <s v="2.31"/>
    <s v="24948"/>
    <s v="24998.896"/>
    <s v="49.896"/>
    <s v="0"/>
    <s v="1"/>
    <s v="GBP"/>
    <s v="GBP"/>
    <n v="24998.896"/>
  </r>
  <r>
    <x v="2"/>
    <d v="2019-02-18T00:00:00.000"/>
    <s v="3000292"/>
    <s v="000003"/>
    <s v="Confirmed"/>
    <s v="N"/>
    <x v="1"/>
    <d v="2019-02-15T00:00:00.000"/>
    <d v="1899-12-30T13:28:19.000"/>
    <d v="2019-02-19T00:00:00.000"/>
    <s v="EQ"/>
    <m/>
    <s v="0918642"/>
    <s v="GB0009186429"/>
    <s v="FINSBURY FOOD GROUP PLC"/>
    <s v="N"/>
    <s v="N"/>
    <s v="N/A"/>
    <m/>
    <m/>
    <m/>
    <s v="BUY"/>
    <n v="30100"/>
    <n v="30100"/>
    <s v="0.83"/>
    <s v="24983"/>
    <s v="25033.966"/>
    <s v="49.966"/>
    <s v="0"/>
    <s v="1"/>
    <s v="GBP"/>
    <s v="GBP"/>
    <n v="25033.966"/>
  </r>
  <r>
    <x v="2"/>
    <d v="2019-02-18T00:00:00.000"/>
    <s v="3000292"/>
    <s v="000004"/>
    <s v="Confirmed"/>
    <s v="N"/>
    <x v="5"/>
    <d v="2019-02-15T00:00:00.000"/>
    <d v="1899-12-30T16:26:01.000"/>
    <d v="2019-02-19T00:00:00.000"/>
    <s v="EQ"/>
    <m/>
    <s v="0005588"/>
    <s v="GB0000055888"/>
    <s v="DISCOVERIE GROUP PLC"/>
    <s v="N"/>
    <s v="N"/>
    <s v="N/A"/>
    <m/>
    <m/>
    <m/>
    <s v="BUY"/>
    <n v="6000"/>
    <n v="6000"/>
    <s v="4.061546"/>
    <s v="24369.276"/>
    <s v="24540.87455"/>
    <s v="48.738552"/>
    <s v="0"/>
    <s v="122.85"/>
    <s v="GBP"/>
    <s v="GBP"/>
    <n v="24540.87455"/>
  </r>
  <r>
    <x v="2"/>
    <d v="2019-02-18T00:00:00.000"/>
    <s v="3000292"/>
    <s v="000005"/>
    <s v="Confirmed"/>
    <s v="N"/>
    <x v="3"/>
    <d v="2019-02-15T00:00:00.000"/>
    <d v="1899-12-30T13:36:48.000"/>
    <d v="2019-02-19T00:00:00.000"/>
    <s v="EQ"/>
    <m/>
    <s v="0176581"/>
    <s v="GB0001765816"/>
    <s v="BREWIN DOLPHIN HOLDINGS PLC"/>
    <s v="N"/>
    <s v="N"/>
    <s v="N/A"/>
    <m/>
    <m/>
    <m/>
    <s v="BUY"/>
    <n v="5000"/>
    <n v="5000"/>
    <s v="3.004"/>
    <s v="15020"/>
    <s v="15126.29"/>
    <s v="30.04"/>
    <s v="0"/>
    <s v="76.25"/>
    <s v="GBP"/>
    <s v="GBP"/>
    <n v="15126.29"/>
  </r>
  <r>
    <x v="2"/>
    <d v="2019-02-18T00:00:00.000"/>
    <s v="3000292"/>
    <s v="000006"/>
    <s v="Confirmed"/>
    <s v="N"/>
    <x v="3"/>
    <d v="2019-02-15T00:00:00.000"/>
    <d v="1899-12-30T14:14:31.000"/>
    <d v="2019-02-19T00:00:00.000"/>
    <s v="EQ"/>
    <m/>
    <s v="BMMV6B7"/>
    <s v="GB00BMMV6B79"/>
    <s v="CLIPPER LOGISTICS PLC"/>
    <s v="N"/>
    <s v="N"/>
    <s v="N/A"/>
    <m/>
    <m/>
    <m/>
    <s v="BUY"/>
    <n v="8600"/>
    <n v="8600"/>
    <s v="2.32"/>
    <s v="19952"/>
    <s v="20092.864"/>
    <s v="39.904"/>
    <s v="0"/>
    <s v="100.96"/>
    <s v="GBP"/>
    <s v="GBP"/>
    <n v="20092.864"/>
  </r>
  <r>
    <x v="2"/>
    <d v="2019-02-18T00:00:00.000"/>
    <s v="3000292"/>
    <s v="000007"/>
    <s v="Confirmed"/>
    <s v="N"/>
    <x v="3"/>
    <d v="2019-02-15T00:00:00.000"/>
    <d v="1899-12-30T13:31:20.000"/>
    <d v="2019-02-19T00:00:00.000"/>
    <s v="EQ"/>
    <m/>
    <s v="BYYJL41"/>
    <s v="GB00BYYJL418"/>
    <s v="NORCROS PLC"/>
    <s v="N"/>
    <s v="N"/>
    <s v="N/A"/>
    <m/>
    <m/>
    <m/>
    <s v="BUY"/>
    <n v="10500"/>
    <n v="10500"/>
    <s v="1.945"/>
    <s v="20422.5"/>
    <s v="20566.665"/>
    <s v="40.845"/>
    <s v="0"/>
    <s v="103.32"/>
    <s v="GBP"/>
    <s v="GBP"/>
    <n v="20566.665"/>
  </r>
  <r>
    <x v="2"/>
    <d v="2019-02-18T00:00:00.000"/>
    <s v="3000292"/>
    <s v="000008"/>
    <s v="Confirmed"/>
    <s v="N"/>
    <x v="3"/>
    <d v="2019-02-15T00:00:00.000"/>
    <d v="1899-12-30T13:07:14.000"/>
    <d v="2019-02-19T00:00:00.000"/>
    <s v="EQ"/>
    <m/>
    <s v="BF020D3"/>
    <s v="GB00BF020D33"/>
    <s v="TEN ENTERTAINMENT GROUP PLC"/>
    <s v="N"/>
    <s v="N"/>
    <s v="N/A"/>
    <m/>
    <m/>
    <m/>
    <s v="BUY"/>
    <n v="10400"/>
    <n v="10400"/>
    <s v="2.32"/>
    <s v="24128"/>
    <s v="24298.136"/>
    <s v="48.256"/>
    <s v="0"/>
    <s v="121.88"/>
    <s v="GBP"/>
    <s v="GBP"/>
    <n v="24298.136"/>
  </r>
  <r>
    <x v="2"/>
    <d v="2019-02-18T00:00:00.000"/>
    <s v="3000292"/>
    <s v="000009"/>
    <s v="Confirmed"/>
    <s v="N"/>
    <x v="2"/>
    <d v="2019-02-15T00:00:00.000"/>
    <d v="1899-12-30T13:37:00.000"/>
    <d v="2019-02-19T00:00:00.000"/>
    <s v="EQ"/>
    <m/>
    <s v="B286382"/>
    <s v="GB00B2863827"/>
    <s v="CVS GROUP PLC"/>
    <s v="N"/>
    <s v="N"/>
    <s v="N/A"/>
    <m/>
    <m/>
    <m/>
    <s v="BUY"/>
    <n v="4500"/>
    <n v="4500"/>
    <s v="4.42"/>
    <s v="19890"/>
    <s v="19930.78"/>
    <s v="39.78"/>
    <s v="0"/>
    <s v="1"/>
    <s v="GBP"/>
    <s v="GBP"/>
    <n v="19930.78"/>
  </r>
  <r>
    <x v="2"/>
    <d v="2019-02-18T00:00:00.000"/>
    <s v="3000292"/>
    <s v="000010"/>
    <s v="Confirmed"/>
    <s v="N"/>
    <x v="2"/>
    <d v="2019-02-15T00:00:00.000"/>
    <d v="1899-12-30T15:31:00.000"/>
    <d v="2019-02-19T00:00:00.000"/>
    <s v="EQ"/>
    <m/>
    <s v="0638939"/>
    <s v="GB0006389398"/>
    <s v="NICHOLS PLC"/>
    <s v="N"/>
    <s v="N"/>
    <s v="N/A"/>
    <m/>
    <m/>
    <m/>
    <s v="BUY"/>
    <n v="1350"/>
    <n v="1350"/>
    <s v="14.85"/>
    <s v="20047.5"/>
    <s v="20088.595"/>
    <s v="40.095"/>
    <s v="0"/>
    <s v="1"/>
    <s v="GBP"/>
    <s v="GBP"/>
    <n v="20088.595"/>
  </r>
  <r>
    <x v="2"/>
    <d v="2019-02-18T00:00:00.000"/>
    <s v="3000292"/>
    <s v="000011"/>
    <s v="Confirmed"/>
    <s v="N"/>
    <x v="3"/>
    <d v="2019-02-15T00:00:00.000"/>
    <d v="1899-12-30T15:22:35.000"/>
    <d v="2019-02-19T00:00:00.000"/>
    <s v="EQ"/>
    <m/>
    <s v="B64NSP7"/>
    <s v="GB00B64NSP76"/>
    <s v="COSTAIN GROUP PLC"/>
    <s v="N"/>
    <s v="N"/>
    <s v="N/A"/>
    <m/>
    <m/>
    <m/>
    <s v="BUY"/>
    <n v="6900"/>
    <n v="6900"/>
    <s v="3.6625"/>
    <s v="25271.25"/>
    <s v="25449.4025"/>
    <s v="50.5425"/>
    <s v="0"/>
    <s v="127.61"/>
    <s v="GBP"/>
    <s v="GBP"/>
    <n v="25449.4025"/>
  </r>
  <r>
    <x v="2"/>
    <d v="2019-02-18T00:00:00.000"/>
    <s v="3000292"/>
    <s v="000012"/>
    <s v="Confirmed"/>
    <s v="N"/>
    <x v="5"/>
    <d v="2019-02-15T00:00:00.000"/>
    <d v="1899-12-30T15:07:58.000"/>
    <d v="2019-02-19T00:00:00.000"/>
    <s v="EQ"/>
    <m/>
    <s v="0687061"/>
    <s v="GB0006870611"/>
    <s v="GB GROUP PLC"/>
    <s v="N"/>
    <s v="N"/>
    <s v="N/A"/>
    <m/>
    <m/>
    <m/>
    <s v="BUY"/>
    <n v="3200"/>
    <n v="3200"/>
    <s v="4.726848"/>
    <s v="15125.9136"/>
    <s v="15157.15543"/>
    <s v="30.2518272"/>
    <s v="0"/>
    <s v="1"/>
    <s v="GBP"/>
    <s v="GBP"/>
    <n v="15157.15543"/>
  </r>
  <r>
    <x v="2"/>
    <d v="2019-02-18T00:00:00.000"/>
    <s v="3000292"/>
    <s v="000013"/>
    <s v="Confirmed"/>
    <s v="N"/>
    <x v="3"/>
    <d v="2019-02-15T00:00:00.000"/>
    <d v="1899-12-30T16:17:06.000"/>
    <d v="2019-02-19T00:00:00.000"/>
    <s v="EQ"/>
    <m/>
    <s v="BVRZ8S8"/>
    <s v="JE00BVRZ8S85"/>
    <s v="SANNE GROUP PLC"/>
    <s v="N"/>
    <s v="N"/>
    <s v="N/A"/>
    <m/>
    <m/>
    <m/>
    <s v="BUY"/>
    <n v="1383"/>
    <n v="1383"/>
    <s v="5.09"/>
    <s v="7039.47"/>
    <s v="7053.54894"/>
    <s v="14.07894"/>
    <s v="0"/>
    <s v="0"/>
    <s v="GBP"/>
    <s v="GBP"/>
    <n v="7053.54894"/>
  </r>
  <r>
    <x v="2"/>
    <d v="2019-02-18T00:00:00.000"/>
    <s v="3000292"/>
    <s v="000014"/>
    <s v="Confirmed"/>
    <s v="N"/>
    <x v="3"/>
    <d v="2019-02-15T00:00:00.000"/>
    <d v="1899-12-30T13:43:40.000"/>
    <d v="2019-02-19T00:00:00.000"/>
    <s v="EQ"/>
    <m/>
    <s v="BYN5913"/>
    <s v="GB00BYN59130"/>
    <s v="DOMINO'S PIZZA GROUP PLC"/>
    <s v="N"/>
    <s v="N"/>
    <s v="N/A"/>
    <m/>
    <m/>
    <m/>
    <s v="BUY"/>
    <n v="8000"/>
    <n v="8000"/>
    <s v="2.467"/>
    <s v="19736"/>
    <s v="19875.152"/>
    <s v="39.472"/>
    <s v="0"/>
    <s v="99.68"/>
    <s v="GBP"/>
    <s v="GBP"/>
    <n v="19875.152"/>
  </r>
  <r>
    <x v="2"/>
    <d v="2019-02-18T00:00:00.000"/>
    <s v="3000292"/>
    <s v="000015"/>
    <s v="Confirmed"/>
    <s v="N"/>
    <x v="3"/>
    <d v="2019-02-15T00:00:00.000"/>
    <d v="1899-12-30T13:21:43.000"/>
    <d v="2019-02-19T00:00:00.000"/>
    <s v="EQ"/>
    <m/>
    <s v="BN7ZCY6"/>
    <s v="GB00BN7ZCY67"/>
    <s v="ERGOMED PLC"/>
    <s v="N"/>
    <s v="N"/>
    <s v="N/A"/>
    <m/>
    <m/>
    <m/>
    <s v="BUY"/>
    <n v="13500"/>
    <n v="13500"/>
    <s v="1.86"/>
    <s v="25110"/>
    <s v="25161.22"/>
    <s v="50.22"/>
    <s v="0"/>
    <s v="1"/>
    <s v="GBP"/>
    <s v="GBP"/>
    <n v="25161.22"/>
  </r>
  <r>
    <x v="2"/>
    <d v="2019-02-18T00:00:00.000"/>
    <s v="3000292"/>
    <s v="000016"/>
    <s v="Confirmed"/>
    <s v="N"/>
    <x v="3"/>
    <d v="2019-02-15T00:00:00.000"/>
    <d v="1899-12-30T15:18:27.000"/>
    <d v="2019-02-19T00:00:00.000"/>
    <s v="EQ"/>
    <m/>
    <s v="0879471"/>
    <s v="GB0008794710"/>
    <s v="TELECOM PLUS PLC"/>
    <s v="N"/>
    <s v="N"/>
    <s v="N/A"/>
    <m/>
    <m/>
    <m/>
    <s v="BUY"/>
    <n v="1100"/>
    <n v="1100"/>
    <s v="13.9"/>
    <s v="15290"/>
    <s v="15398.18"/>
    <s v="30.58"/>
    <s v="0"/>
    <s v="77.6"/>
    <s v="GBP"/>
    <s v="GBP"/>
    <n v="15398.18"/>
  </r>
  <r>
    <x v="2"/>
    <d v="2019-02-18T00:00:00.000"/>
    <s v="3000292"/>
    <s v="000017"/>
    <s v="Confirmed"/>
    <s v="N"/>
    <x v="3"/>
    <d v="2019-02-15T00:00:00.000"/>
    <d v="1899-12-30T15:33:09.000"/>
    <d v="2019-02-19T00:00:00.000"/>
    <s v="EQ"/>
    <m/>
    <s v="BD6RF22"/>
    <s v="GB00BD6RF223"/>
    <s v="WATKIN JONES PLC"/>
    <s v="N"/>
    <s v="N"/>
    <s v="N/A"/>
    <m/>
    <m/>
    <m/>
    <s v="BUY"/>
    <n v="629"/>
    <n v="629"/>
    <s v="2.31"/>
    <s v="1452.99"/>
    <s v="1455.89598"/>
    <s v="2.90598"/>
    <s v="0"/>
    <s v="0"/>
    <s v="GBP"/>
    <s v="GBP"/>
    <n v="1455.89598"/>
  </r>
  <r>
    <x v="2"/>
    <d v="2019-02-18T00:00:00.000"/>
    <s v="3000292"/>
    <s v="000018"/>
    <s v="Confirmed"/>
    <s v="N"/>
    <x v="6"/>
    <d v="2019-02-15T00:00:00.000"/>
    <d v="1899-12-30T16:21:00.000"/>
    <d v="2019-02-19T00:00:00.000"/>
    <s v="EQ"/>
    <m/>
    <s v="BDDN1T2"/>
    <s v="GB00BDDN1T20"/>
    <s v="XPS PENSIONS GROUP PLC"/>
    <s v="N"/>
    <s v="N"/>
    <s v="N/A"/>
    <m/>
    <m/>
    <m/>
    <s v="BUY"/>
    <n v="10000"/>
    <n v="10000"/>
    <s v="1.35"/>
    <s v="13500"/>
    <s v="13595.5"/>
    <s v="27"/>
    <s v="0"/>
    <s v="68.5"/>
    <s v="GBP"/>
    <s v="GBP"/>
    <n v="13595.5"/>
  </r>
  <r>
    <x v="2"/>
    <d v="2019-02-18T00:00:00.000"/>
    <s v="3000292"/>
    <s v="000019"/>
    <s v="Confirmed"/>
    <s v="N"/>
    <x v="7"/>
    <d v="2019-02-15T00:00:00.000"/>
    <d v="1899-12-30T15:00:00.000"/>
    <d v="2019-02-19T00:00:00.000"/>
    <s v="EQ"/>
    <m/>
    <s v="0737007"/>
    <s v="GB0007370074"/>
    <s v="RICARDO PLC"/>
    <s v="N"/>
    <s v="N"/>
    <s v="N/A"/>
    <m/>
    <m/>
    <m/>
    <s v="BUY"/>
    <n v="3300"/>
    <n v="3300"/>
    <s v="6.15"/>
    <s v="20295"/>
    <s v="20438.27"/>
    <s v="40.59"/>
    <s v="0"/>
    <s v="102.68"/>
    <s v="GBP"/>
    <s v="GBP"/>
    <n v="20438.27"/>
  </r>
  <r>
    <x v="2"/>
    <d v="2019-02-18T00:00:00.000"/>
    <s v="3000292"/>
    <s v="000020"/>
    <s v="Confirmed"/>
    <s v="N"/>
    <x v="7"/>
    <d v="2019-02-15T00:00:00.000"/>
    <d v="1899-12-30T14:58:00.000"/>
    <d v="2019-02-19T00:00:00.000"/>
    <s v="EQ"/>
    <m/>
    <s v="0664097"/>
    <s v="GB0006640972"/>
    <s v="4IMPRINT GROUP PLC"/>
    <s v="N"/>
    <s v="N"/>
    <s v="N/A"/>
    <m/>
    <m/>
    <m/>
    <s v="BUY"/>
    <n v="1300"/>
    <n v="1300"/>
    <s v="19.25"/>
    <s v="25025"/>
    <s v="25201.43"/>
    <s v="50.05"/>
    <s v="0"/>
    <s v="126.38"/>
    <s v="GBP"/>
    <s v="GBP"/>
    <n v="25201.43"/>
  </r>
  <r>
    <x v="2"/>
    <d v="2019-02-18T00:00:00.000"/>
    <s v="3000292"/>
    <s v="000021"/>
    <s v="Confirmed"/>
    <s v="N"/>
    <x v="3"/>
    <d v="2019-02-18T00:00:00.000"/>
    <d v="1899-12-30T08:17:28.000"/>
    <d v="2019-02-20T00:00:00.000"/>
    <s v="EQ"/>
    <m/>
    <s v="BFYF629"/>
    <s v="GB00BFYF6298"/>
    <s v="KNIGHTS GROUP HOLDINGS PLC"/>
    <s v="N"/>
    <s v="N"/>
    <s v="N/A"/>
    <m/>
    <m/>
    <m/>
    <s v="BUY"/>
    <n v="11200"/>
    <n v="11200"/>
    <s v="2.75"/>
    <s v="30800"/>
    <s v="30862.6"/>
    <s v="61.6"/>
    <s v="0"/>
    <s v="1"/>
    <s v="GBP"/>
    <s v="GBP"/>
    <n v="30862.6"/>
  </r>
  <r>
    <x v="2"/>
    <d v="2019-02-18T00:00:00.000"/>
    <s v="3000292"/>
    <s v="000022"/>
    <s v="Confirmed"/>
    <s v="N"/>
    <x v="3"/>
    <d v="2019-02-18T00:00:00.000"/>
    <d v="1899-12-30T08:47:28.000"/>
    <d v="2019-02-20T00:00:00.000"/>
    <s v="EQ"/>
    <m/>
    <s v="BVRZ8S8"/>
    <s v="JE00BVRZ8S85"/>
    <s v="SANNE GROUP PLC"/>
    <s v="N"/>
    <s v="N"/>
    <s v="N/A"/>
    <m/>
    <m/>
    <m/>
    <s v="BUY"/>
    <n v="3617"/>
    <n v="3617"/>
    <s v="5.1"/>
    <s v="18446.7"/>
    <s v="18484.5934"/>
    <s v="36.8934"/>
    <s v="0"/>
    <s v="1"/>
    <s v="GBP"/>
    <s v="GBP"/>
    <n v="18484.5934"/>
  </r>
  <r>
    <x v="2"/>
    <d v="2019-02-18T00:00:00.000"/>
    <s v="3000292"/>
    <s v="000023"/>
    <s v="Confirmed"/>
    <s v="N"/>
    <x v="3"/>
    <d v="2019-02-18T00:00:00.000"/>
    <d v="1899-12-30T08:47:37.000"/>
    <d v="2019-02-20T00:00:00.000"/>
    <s v="EQ"/>
    <m/>
    <s v="_x0009_B3DG931"/>
    <s v="JE00B3DG9318"/>
    <s v="TARSUS GROUP PLC"/>
    <s v="N"/>
    <s v="N"/>
    <s v="N/A"/>
    <m/>
    <m/>
    <m/>
    <s v="BUY"/>
    <n v="10500"/>
    <n v="10500"/>
    <s v="2.67"/>
    <s v="28035"/>
    <s v="28092.07"/>
    <s v="56.07"/>
    <s v="0"/>
    <s v="1"/>
    <s v="GBP"/>
    <s v="GBP"/>
    <n v="28092.07"/>
  </r>
  <r>
    <x v="2"/>
    <d v="2019-02-18T00:00:00.000"/>
    <s v="3000292"/>
    <s v="000024"/>
    <s v="Confirmed"/>
    <s v="N"/>
    <x v="4"/>
    <d v="2019-02-15T00:00:00.000"/>
    <d v="1899-12-30T16:45:15.000"/>
    <d v="2019-02-19T00:00:00.000"/>
    <s v="EQ"/>
    <m/>
    <s v="B29H425"/>
    <s v="GB00B29H4253"/>
    <s v="TYMAN PLC"/>
    <s v="N"/>
    <s v="N"/>
    <s v="N/A"/>
    <m/>
    <m/>
    <m/>
    <s v="BUY"/>
    <n v="8200"/>
    <n v="8200"/>
    <s v="2.44"/>
    <s v="20008"/>
    <s v="20149.256"/>
    <s v="40.016"/>
    <s v="0"/>
    <s v="101.24"/>
    <s v="GBP"/>
    <s v="GBP"/>
    <n v="20149.256"/>
  </r>
  <r>
    <x v="2"/>
    <d v="2019-02-18T00:00:00.000"/>
    <s v="3000292"/>
    <s v="000025"/>
    <s v="Confirmed"/>
    <s v="N"/>
    <x v="4"/>
    <d v="2019-02-15T00:00:00.000"/>
    <d v="1899-12-30T16:47:24.000"/>
    <d v="2019-02-19T00:00:00.000"/>
    <s v="EQ"/>
    <m/>
    <s v="B0MT3Y9"/>
    <s v="GB00B0MT3Y97"/>
    <s v="MATTIOLI WOODS PLC"/>
    <s v="N"/>
    <s v="N"/>
    <s v="N/A"/>
    <m/>
    <m/>
    <m/>
    <s v="BUY"/>
    <n v="4700"/>
    <n v="4700"/>
    <s v="7.45"/>
    <s v="35015"/>
    <s v="35086.03"/>
    <s v="70.03"/>
    <s v="0"/>
    <s v="1"/>
    <s v="GBP"/>
    <s v="GBP"/>
    <n v="35086.03"/>
  </r>
  <r>
    <x v="2"/>
    <d v="2019-02-18T00:00:00.000"/>
    <s v="3000292"/>
    <s v="000026"/>
    <s v="Confirmed"/>
    <s v="N"/>
    <x v="7"/>
    <d v="2019-02-15T00:00:00.000"/>
    <d v="1899-12-30T15:06:44.000"/>
    <d v="2019-02-19T00:00:00.000"/>
    <s v="EQ"/>
    <m/>
    <s v="0929666"/>
    <s v="GB0009296665"/>
    <s v="VITEC GROUP PLC (THE) "/>
    <s v="N"/>
    <s v="N"/>
    <s v="N/A"/>
    <m/>
    <m/>
    <m/>
    <s v="BUY"/>
    <n v="1350"/>
    <n v="1350"/>
    <s v="11.4"/>
    <s v="15390"/>
    <s v="15498.88"/>
    <s v="30.78"/>
    <s v="0"/>
    <s v="78.1"/>
    <s v="GBP"/>
    <s v="GBP"/>
    <n v="15498.88"/>
  </r>
  <r>
    <x v="2"/>
    <d v="2019-02-18T00:00:00.000"/>
    <s v="3000292"/>
    <s v="000027"/>
    <s v="Confirmed"/>
    <s v="N"/>
    <x v="7"/>
    <d v="2019-02-15T00:00:00.000"/>
    <d v="1899-12-30T15:06:52.000"/>
    <d v="2019-02-19T00:00:00.000"/>
    <s v="EQ"/>
    <m/>
    <s v="0371847"/>
    <s v="GB0003718474"/>
    <s v="GAMES WORKSHOP GROUP PLC "/>
    <s v="N"/>
    <s v="N"/>
    <s v="N/A"/>
    <m/>
    <m/>
    <m/>
    <s v="BUY"/>
    <n v="700"/>
    <n v="700"/>
    <s v="31.798"/>
    <s v="22258.6"/>
    <s v="22415.6372"/>
    <s v="44.5172"/>
    <s v="0"/>
    <s v="112.52"/>
    <s v="GBP"/>
    <s v="GBP"/>
    <n v="22415.6372"/>
  </r>
  <r>
    <x v="2"/>
    <d v="2019-02-18T00:00:00.000"/>
    <s v="3000292"/>
    <s v="000028"/>
    <s v="Confirmed"/>
    <s v="N"/>
    <x v="8"/>
    <d v="2019-02-18T00:00:00.000"/>
    <d v="1899-12-30T08:45:00.000"/>
    <d v="2019-02-20T00:00:00.000"/>
    <s v="EQ"/>
    <m/>
    <s v="B5TZC71"/>
    <s v="GB00B5TZC716"/>
    <s v="INSPIRED ENERGY PLC"/>
    <s v="N"/>
    <s v="N"/>
    <s v="N/A"/>
    <m/>
    <m/>
    <m/>
    <s v="BUY"/>
    <n v="165000"/>
    <n v="165000"/>
    <s v="0.1815"/>
    <s v="29947.5"/>
    <s v="30008.395"/>
    <s v="59.895"/>
    <s v="0"/>
    <s v="1"/>
    <s v="GBP"/>
    <s v="GBP"/>
    <n v="30008.395"/>
  </r>
  <r>
    <x v="2"/>
    <d v="2019-02-18T00:00:00.000"/>
    <s v="3000292"/>
    <s v="000029"/>
    <s v="Confirmed"/>
    <s v="N"/>
    <x v="8"/>
    <d v="2019-02-18T00:00:00.000"/>
    <d v="1899-12-30T08:42:00.000"/>
    <d v="2019-02-20T00:00:00.000"/>
    <s v="EQ"/>
    <m/>
    <s v="BYMK425"/>
    <s v="GG00BYMK4250"/>
    <s v="SAFECHARGE INTERNATIONAL GROUP"/>
    <s v="N"/>
    <s v="N"/>
    <s v="N/A"/>
    <m/>
    <m/>
    <m/>
    <s v="BUY"/>
    <n v="8600"/>
    <n v="8600"/>
    <s v="2.7"/>
    <s v="23220"/>
    <s v="23267.44"/>
    <s v="46.44"/>
    <s v="0"/>
    <s v="1"/>
    <s v="GBP"/>
    <s v="GBP"/>
    <n v="23267.44"/>
  </r>
  <r>
    <x v="2"/>
    <d v="2019-02-18T00:00:00.000"/>
    <s v="3000292"/>
    <s v="000030"/>
    <s v="Confirmed"/>
    <s v="N"/>
    <x v="6"/>
    <d v="2019-02-15T00:00:00.000"/>
    <d v="1899-12-30T14:58:00.000"/>
    <d v="2019-02-19T00:00:00.000"/>
    <s v="EQ"/>
    <m/>
    <s v="BF0FMG9"/>
    <s v="IM00BF0FMG91"/>
    <s v="STRIX GROUP PLC"/>
    <s v="N"/>
    <s v="N"/>
    <s v="N/A"/>
    <m/>
    <m/>
    <m/>
    <s v="BUY"/>
    <n v="16200"/>
    <n v="16200"/>
    <s v="1.57"/>
    <s v="25434"/>
    <s v="25485.868"/>
    <s v="50.868"/>
    <s v="0"/>
    <s v="1"/>
    <s v="GBP"/>
    <s v="GBP"/>
    <n v="25485.868"/>
  </r>
  <r>
    <x v="2"/>
    <d v="2019-02-18T00:00:00.000"/>
    <s v="3000292"/>
    <s v="000031"/>
    <s v="Confirmed"/>
    <s v="N"/>
    <x v="9"/>
    <d v="2019-02-18T00:00:00.000"/>
    <d v="1899-12-30T10:53:00.000"/>
    <d v="2019-02-20T00:00:00.000"/>
    <s v="EQ"/>
    <m/>
    <s v="490526"/>
    <s v="GB0004905260"/>
    <s v=" IMPAX ASSET MANAGEMENT GROUP PLC"/>
    <s v="N"/>
    <s v="N"/>
    <s v="N/A"/>
    <m/>
    <m/>
    <m/>
    <s v="BUY"/>
    <n v="11600"/>
    <n v="11600"/>
    <s v="2.19"/>
    <s v="25404"/>
    <s v="25455.808"/>
    <s v="50.808"/>
    <s v="0"/>
    <s v="1"/>
    <s v="GBP"/>
    <s v="GBP"/>
    <n v="25455.808"/>
  </r>
  <r>
    <x v="1"/>
    <d v="2019-02-19T00:00:00.000"/>
    <s v="3000290"/>
    <s v="000476"/>
    <s v="Confirmed"/>
    <s v="N"/>
    <x v="2"/>
    <d v="2019-02-18T00:00:00.000"/>
    <d v="1899-12-30T16:17:35.000"/>
    <d v="2019-02-20T00:00:00.000"/>
    <s v="EQ"/>
    <m/>
    <s v="B5NR1S7"/>
    <s v="GB00B5NR1S72"/>
    <s v="RESTORE PLC "/>
    <m/>
    <m/>
    <m/>
    <m/>
    <m/>
    <m/>
    <s v="BUY"/>
    <n v="1059"/>
    <n v="1059"/>
    <s v="3.044326"/>
    <s v="3223.941234"/>
    <s v="3231.389116"/>
    <s v="6.447882468"/>
    <s v="0"/>
    <s v="1"/>
    <s v="GBP"/>
    <s v="GBP"/>
    <n v="3231.389116"/>
  </r>
  <r>
    <x v="2"/>
    <d v="2019-02-19T00:00:00.000"/>
    <s v="3000292"/>
    <s v="000032"/>
    <s v="Confirmed"/>
    <s v="N"/>
    <x v="3"/>
    <d v="2019-02-18T00:00:00.000"/>
    <d v="1899-12-30T11:32:08.000"/>
    <d v="2019-02-20T00:00:00.000"/>
    <s v="EQ"/>
    <m/>
    <s v="_x0009_BD6RF22"/>
    <s v="GB00BD6RF223"/>
    <s v="WATKIN JONES PLC ORD"/>
    <s v="N"/>
    <s v="N"/>
    <s v="N/A"/>
    <m/>
    <m/>
    <m/>
    <s v="BUY"/>
    <n v="2019"/>
    <n v="2019"/>
    <s v="2.31"/>
    <s v="4663.89"/>
    <s v="4673.21778"/>
    <s v="9.32778"/>
    <s v="0"/>
    <s v="0"/>
    <s v="GBP"/>
    <s v="GBP"/>
    <n v="4673.21778"/>
  </r>
  <r>
    <x v="2"/>
    <d v="2019-02-19T00:00:00.000"/>
    <s v="3000292"/>
    <s v="000033"/>
    <s v="Confirmed"/>
    <s v="N"/>
    <x v="3"/>
    <d v="2019-02-18T00:00:00.000"/>
    <d v="1899-12-30T14:16:40.000"/>
    <d v="2019-02-20T00:00:00.000"/>
    <s v="EQ"/>
    <m/>
    <s v="3002605"/>
    <s v="GB0030026057"/>
    <s v="NEXT FIFTEEN COMMUNICATIONS GROUP PLC"/>
    <s v="N"/>
    <s v="N"/>
    <s v="N/A"/>
    <m/>
    <m/>
    <m/>
    <s v="BUY"/>
    <n v="4900"/>
    <n v="4900"/>
    <s v="5.34"/>
    <s v="26166"/>
    <s v="26219.332"/>
    <s v="52.332"/>
    <s v="0"/>
    <s v="1"/>
    <s v="GBP"/>
    <s v="GBP"/>
    <n v="26219.332"/>
  </r>
  <r>
    <x v="2"/>
    <d v="2019-02-19T00:00:00.000"/>
    <s v="3000292"/>
    <s v="000034"/>
    <s v="Confirmed"/>
    <s v="N"/>
    <x v="6"/>
    <d v="2019-02-18T00:00:00.000"/>
    <d v="1899-12-30T13:37:51.000"/>
    <d v="2019-02-20T00:00:00.000"/>
    <s v="EQ"/>
    <m/>
    <s v="0452690"/>
    <s v="GB0004526900"/>
    <s v="IG DESIGN GROUP PLC"/>
    <s v="N"/>
    <s v="N"/>
    <s v="N/A"/>
    <m/>
    <m/>
    <m/>
    <s v="BUY"/>
    <n v="4500"/>
    <n v="4500"/>
    <s v="5.73"/>
    <s v="25785"/>
    <s v="25837.57"/>
    <s v="51.57"/>
    <s v="0"/>
    <s v="1"/>
    <s v="GBP"/>
    <s v="GBP"/>
    <n v="25837.57"/>
  </r>
  <r>
    <x v="2"/>
    <d v="2019-02-19T00:00:00.000"/>
    <s v="3000292"/>
    <s v="000035"/>
    <s v="Confirmed"/>
    <s v="N"/>
    <x v="3"/>
    <d v="2019-02-18T00:00:00.000"/>
    <d v="1899-12-30T11:10:33.000"/>
    <d v="2019-02-20T00:00:00.000"/>
    <s v="EQ"/>
    <m/>
    <s v="BQSBH50"/>
    <s v="GB00BQSBH502"/>
    <s v="MORTGAGE ADVICE BUREAU (HOLDINGS) PLC"/>
    <s v="N"/>
    <s v="N"/>
    <s v="N/A"/>
    <m/>
    <m/>
    <m/>
    <s v="BUY"/>
    <n v="3400"/>
    <n v="3400"/>
    <s v="5.87"/>
    <s v="19958"/>
    <s v="19998.916"/>
    <s v="39.916"/>
    <s v="0"/>
    <s v="1"/>
    <s v="GBP"/>
    <s v="GBP"/>
    <n v="19998.916"/>
  </r>
  <r>
    <x v="2"/>
    <d v="2019-02-19T00:00:00.000"/>
    <s v="3000292"/>
    <s v="000036"/>
    <s v="Confirmed"/>
    <s v="N"/>
    <x v="6"/>
    <d v="2019-02-18T00:00:00.000"/>
    <d v="1899-12-30T11:05:04.000"/>
    <d v="2019-02-20T00:00:00.000"/>
    <s v="EQ"/>
    <m/>
    <s v="BDDN1T2"/>
    <s v="GB00BDDN1T20"/>
    <s v="XPS PENSIONS GROUP PLC "/>
    <s v="N"/>
    <s v="N"/>
    <s v="N/A"/>
    <m/>
    <m/>
    <m/>
    <s v="BUY"/>
    <n v="16300"/>
    <n v="16300"/>
    <s v="1.4"/>
    <s v="22820"/>
    <s v="22980.74"/>
    <s v="45.64"/>
    <s v="0"/>
    <s v="115.1"/>
    <s v="GBP"/>
    <s v="GBP"/>
    <n v="22980.74"/>
  </r>
  <r>
    <x v="2"/>
    <d v="2019-02-19T00:00:00.000"/>
    <s v="3000292"/>
    <s v="000037"/>
    <s v="Confirmed"/>
    <s v="N"/>
    <x v="2"/>
    <d v="2019-02-18T00:00:00.000"/>
    <d v="1899-12-30T16:17:35.000"/>
    <d v="2019-02-20T00:00:00.000"/>
    <s v="EQ"/>
    <m/>
    <s v="B5NR1S7"/>
    <s v="GB00B5NR1S72"/>
    <s v="RESTORE PLC "/>
    <m/>
    <m/>
    <m/>
    <m/>
    <m/>
    <m/>
    <s v="BUY"/>
    <n v="23941"/>
    <n v="23941"/>
    <s v="3.044326"/>
    <s v="72884.20877"/>
    <s v="73030.97718"/>
    <s v="145.7684175"/>
    <s v="0"/>
    <s v="1"/>
    <s v="GBP"/>
    <s v="GBP"/>
    <n v="73030.97718"/>
  </r>
  <r>
    <x v="1"/>
    <d v="2019-02-20T00:00:00.000"/>
    <s v="3000290"/>
    <s v="000477"/>
    <s v="Confirmed"/>
    <s v="N"/>
    <x v="2"/>
    <d v="2019-02-19T00:00:00.000"/>
    <d v="1899-12-30T11:32:05.000"/>
    <d v="2019-02-21T00:00:00.000"/>
    <s v="EQ"/>
    <m/>
    <s v="B5NR1S7"/>
    <s v="GB00B5NR1S72"/>
    <s v="RESTORE PLC"/>
    <s v="N"/>
    <s v="N"/>
    <s v="N/A"/>
    <m/>
    <m/>
    <m/>
    <s v="BUY"/>
    <n v="105341"/>
    <n v="105341"/>
    <s v="3.05"/>
    <s v="321290.05"/>
    <s v="321933.6301"/>
    <s v="642.5801"/>
    <s v="0"/>
    <s v="1"/>
    <s v="GBP"/>
    <s v="GBP"/>
    <n v="321933.6301"/>
  </r>
  <r>
    <x v="1"/>
    <d v="2019-02-20T00:00:00.000"/>
    <s v="3000290"/>
    <s v="000478"/>
    <s v="Confirmed"/>
    <s v="N"/>
    <x v="9"/>
    <d v="2019-02-19T00:00:00.000"/>
    <d v="1899-12-30T08:00:00.000"/>
    <d v="2019-02-20T00:00:00.000"/>
    <s v="EQ"/>
    <m/>
    <s v="0536301"/>
    <s v="GB0005363014"/>
    <s v="LOW &amp; BONAR PLC "/>
    <s v="N"/>
    <s v="Y"/>
    <s v="N"/>
    <m/>
    <m/>
    <m/>
    <s v="BUY"/>
    <n v="3721235"/>
    <n v="3721235"/>
    <s v="0.15"/>
    <s v="558185.25"/>
    <s v="558185.25"/>
    <s v="0"/>
    <s v="0"/>
    <s v="0"/>
    <s v="GBP"/>
    <s v="GBP"/>
    <n v="558185.25"/>
  </r>
  <r>
    <x v="1"/>
    <d v="2019-02-20T00:00:00.000"/>
    <s v="3000290"/>
    <s v="000479"/>
    <s v="Confirmed"/>
    <s v="N"/>
    <x v="2"/>
    <d v="2019-02-18T00:00:00.000"/>
    <d v="1899-12-30T16:17:35.000"/>
    <d v="2019-02-20T00:00:00.000"/>
    <s v="EQ"/>
    <m/>
    <s v="B5NR1S7"/>
    <s v="GB00B5NR1S72"/>
    <s v="RESTORE PLC "/>
    <s v="N"/>
    <s v="N"/>
    <s v="N/A"/>
    <m/>
    <m/>
    <m/>
    <s v="BUY"/>
    <n v="23941"/>
    <n v="23941"/>
    <s v="3.044326"/>
    <s v="72884.20877"/>
    <s v="73030.97718"/>
    <s v="145.7684175"/>
    <s v="0"/>
    <s v="1"/>
    <s v="GBP"/>
    <s v="GBP"/>
    <n v="73030.97718"/>
  </r>
  <r>
    <x v="0"/>
    <d v="2019-02-20T00:00:00.000"/>
    <s v="3000291"/>
    <s v="000407"/>
    <s v="Confirmed"/>
    <s v="N"/>
    <x v="9"/>
    <d v="2019-02-19T00:00:00.000"/>
    <d v="1899-12-30T08:00:00.000"/>
    <d v="2019-02-20T00:00:00.000"/>
    <s v="EQ"/>
    <m/>
    <s v="0536301"/>
    <s v="GB0005363014"/>
    <s v="LOW &amp; BONAR PLC "/>
    <s v="N"/>
    <s v="Y"/>
    <s v="N"/>
    <m/>
    <m/>
    <m/>
    <s v="BUY"/>
    <n v="744248"/>
    <n v="744248"/>
    <s v="0.15"/>
    <s v="111637.2"/>
    <s v="111637.2"/>
    <s v="0"/>
    <s v="0"/>
    <s v="0"/>
    <s v="GBP"/>
    <s v="GBP"/>
    <n v="111637.2"/>
  </r>
  <r>
    <x v="2"/>
    <d v="2019-02-20T00:00:00.000"/>
    <s v="3000292"/>
    <s v="000038"/>
    <s v="Confirmed"/>
    <s v="N"/>
    <x v="2"/>
    <d v="2019-02-19T00:00:00.000"/>
    <d v="1899-12-30T11:32:02.000"/>
    <d v="2019-02-21T00:00:00.000"/>
    <s v="EQ"/>
    <m/>
    <s v="B5NR1S7"/>
    <s v="GB00B5NR1S72"/>
    <s v="RESTORE PLC"/>
    <s v="N"/>
    <s v="N"/>
    <s v="N/A"/>
    <m/>
    <m/>
    <m/>
    <s v="BUY"/>
    <n v="4659"/>
    <n v="4659"/>
    <s v="3.05"/>
    <s v="14209.95"/>
    <s v="14239.3699"/>
    <s v="28.4199"/>
    <s v="0"/>
    <s v="1"/>
    <s v="GBP"/>
    <s v="GBP"/>
    <n v="14239.3699"/>
  </r>
  <r>
    <x v="2"/>
    <d v="2019-02-20T00:00:00.000"/>
    <s v="3000292"/>
    <s v="000039"/>
    <s v="Confirmed"/>
    <s v="N"/>
    <x v="3"/>
    <d v="2019-02-19T00:00:00.000"/>
    <d v="1899-12-30T11:21:47.000"/>
    <d v="2019-02-21T00:00:00.000"/>
    <s v="EQ"/>
    <m/>
    <s v="_x0009_BD6RF22"/>
    <s v="GB00BD6RF223"/>
    <s v="WATKIN JONES PLC ORD"/>
    <s v="N"/>
    <s v="N"/>
    <s v="N/A"/>
    <m/>
    <m/>
    <m/>
    <s v="BUY"/>
    <n v="8052"/>
    <n v="8052"/>
    <s v="2.31"/>
    <s v="18600.12"/>
    <s v="18638.32024"/>
    <s v="37.20024"/>
    <s v="0"/>
    <s v="1"/>
    <s v="GBP"/>
    <s v="GBP"/>
    <n v="18638.32024"/>
  </r>
  <r>
    <x v="2"/>
    <d v="2019-02-20T00:00:00.000"/>
    <s v="3000292"/>
    <s v="000040"/>
    <s v="Confirmed"/>
    <s v="N"/>
    <x v="2"/>
    <d v="2019-02-18T00:00:00.000"/>
    <d v="1899-12-30T16:17:35.000"/>
    <d v="2019-02-20T00:00:00.000"/>
    <s v="EQ"/>
    <m/>
    <s v="B5NR1S7"/>
    <s v="GB00B5NR1S72"/>
    <s v="RESTORE PLC "/>
    <s v="N"/>
    <s v="N"/>
    <s v="N/A"/>
    <m/>
    <m/>
    <m/>
    <s v="BUY"/>
    <n v="1059"/>
    <n v="1059"/>
    <s v="3.044326"/>
    <s v="3223.941234"/>
    <s v="3230.389116"/>
    <s v="6.447882468"/>
    <s v="0"/>
    <s v="0"/>
    <s v="GBP"/>
    <s v="GBP"/>
    <n v="3230.389116"/>
  </r>
  <r>
    <x v="1"/>
    <d v="2019-02-21T00:00:00.000"/>
    <s v="3000290"/>
    <s v="000480"/>
    <s v="Confirmed"/>
    <s v="N"/>
    <x v="2"/>
    <d v="2019-02-20T00:00:00.000"/>
    <d v="1899-12-30T15:45:00.000"/>
    <d v="2019-02-22T00:00:00.000"/>
    <s v="EQ"/>
    <m/>
    <s v="BLBP4Y2"/>
    <s v="GB00BLBP4Y22"/>
    <s v="IMIMOBILE PLC"/>
    <s v="N"/>
    <s v="N"/>
    <s v="N/A"/>
    <m/>
    <m/>
    <m/>
    <s v="BUY"/>
    <n v="750000"/>
    <n v="750000"/>
    <s v="2.2"/>
    <s v="1650000"/>
    <s v="1653301"/>
    <s v="3300"/>
    <s v="0"/>
    <s v="1"/>
    <s v="GBP"/>
    <s v="GBP"/>
    <n v="1653301"/>
  </r>
  <r>
    <x v="1"/>
    <d v="2019-02-21T00:00:00.000"/>
    <s v="3000290"/>
    <s v="000481"/>
    <s v="Confirmed"/>
    <s v="N"/>
    <x v="2"/>
    <d v="2019-02-20T00:00:00.000"/>
    <d v="1899-12-30T12:45:15.000"/>
    <d v="2019-02-22T00:00:00.000"/>
    <s v="EQ"/>
    <m/>
    <s v="B5NR1S7"/>
    <s v="GB00B5NR1S72"/>
    <s v="RESTORE PLC "/>
    <s v="N"/>
    <s v="N"/>
    <s v="N/A"/>
    <m/>
    <m/>
    <m/>
    <s v="BUY"/>
    <n v="47882"/>
    <n v="47882"/>
    <s v="2.99"/>
    <s v="143167.18"/>
    <s v="143454.5144"/>
    <s v="286.33436"/>
    <s v="0"/>
    <s v="1"/>
    <s v="GBP"/>
    <s v="GBP"/>
    <n v="143454.5144"/>
  </r>
  <r>
    <x v="2"/>
    <d v="2019-02-21T00:00:00.000"/>
    <s v="3000292"/>
    <s v="000041"/>
    <s v="Confirmed"/>
    <s v="N"/>
    <x v="2"/>
    <d v="2019-02-20T00:00:00.000"/>
    <d v="1899-12-30T12:45:15.000"/>
    <d v="2019-02-22T00:00:00.000"/>
    <s v="EQ"/>
    <m/>
    <s v="B5NR1S7"/>
    <s v="GB00B5NR1S72"/>
    <s v="RESTORE PLC "/>
    <s v="N"/>
    <s v="N"/>
    <s v="N/A"/>
    <m/>
    <m/>
    <m/>
    <s v="BUY"/>
    <n v="2118"/>
    <n v="2118"/>
    <s v="2.99"/>
    <s v="6332.82"/>
    <s v="6345.48564"/>
    <s v="12.66564"/>
    <s v="0"/>
    <s v="0"/>
    <s v="GBP"/>
    <s v="GBP"/>
    <n v="6345.48564"/>
  </r>
  <r>
    <x v="1"/>
    <d v="2019-02-22T00:00:00.000"/>
    <s v="3000290"/>
    <s v="000482"/>
    <s v="Confirmed"/>
    <s v="N"/>
    <x v="2"/>
    <d v="2019-02-21T00:00:00.000"/>
    <d v="1899-12-30T11:47:10.000"/>
    <d v="2019-02-25T00:00:00.000"/>
    <s v="EQ"/>
    <m/>
    <s v="B5NR1S7"/>
    <s v="GB00B5NR1S72"/>
    <s v="RESTORE PLC "/>
    <s v="N"/>
    <s v="N"/>
    <s v="N/A"/>
    <m/>
    <m/>
    <m/>
    <s v="BUY"/>
    <n v="82836"/>
    <n v="82836"/>
    <s v="2.975"/>
    <s v="246437.1"/>
    <s v="246930.9842"/>
    <s v="492.8842"/>
    <s v="0"/>
    <s v="1"/>
    <s v="GBP"/>
    <s v="GBP"/>
    <n v="246930.9842"/>
  </r>
  <r>
    <x v="2"/>
    <d v="2019-02-22T00:00:00.000"/>
    <s v="3000292"/>
    <s v="000042"/>
    <s v="Confirmed"/>
    <s v="N"/>
    <x v="2"/>
    <d v="2019-02-21T00:00:00.000"/>
    <d v="1899-12-30T11:47:10.000"/>
    <d v="2019-02-25T00:00:00.000"/>
    <s v="EQ"/>
    <m/>
    <s v="B5NR1S7"/>
    <s v="GB00B5NR1S72"/>
    <s v="RESTORE PLC "/>
    <s v="N"/>
    <s v="N"/>
    <s v="N/A"/>
    <m/>
    <m/>
    <m/>
    <s v="BUY"/>
    <n v="3664"/>
    <n v="3664"/>
    <s v="2.975"/>
    <s v="10900.4"/>
    <s v="10923.2008"/>
    <s v="21.8008"/>
    <s v="0"/>
    <s v="1"/>
    <s v="GBP"/>
    <s v="GBP"/>
    <n v="10923.2008"/>
  </r>
  <r>
    <x v="1"/>
    <d v="2019-02-25T00:00:00.000"/>
    <s v="3000290"/>
    <s v="000483"/>
    <s v="Confirmed"/>
    <s v="N"/>
    <x v="8"/>
    <d v="2019-02-19T00:00:00.000"/>
    <d v="1899-12-30T08:00:00.000"/>
    <d v="2019-02-25T00:00:00.000"/>
    <s v="EQ"/>
    <m/>
    <s v="BYT1818"/>
    <s v="GB00BYT18182"/>
    <s v="SYSGROUP PLC"/>
    <s v="N"/>
    <s v="Y"/>
    <s v="N"/>
    <m/>
    <m/>
    <m/>
    <s v="BUY"/>
    <n v="5620386"/>
    <n v="5620386"/>
    <s v="0.38"/>
    <s v="2135746.68"/>
    <s v="2135746.68"/>
    <s v="0"/>
    <s v="0"/>
    <s v="0"/>
    <s v="GBP"/>
    <s v="GBP"/>
    <n v="2135746.68"/>
  </r>
  <r>
    <x v="1"/>
    <d v="2019-03-04T00:00:00.000"/>
    <s v="3000290"/>
    <s v="000485"/>
    <s v="Confirmed"/>
    <s v="N"/>
    <x v="5"/>
    <d v="2019-03-01T00:00:00.000"/>
    <d v="1899-12-30T13:20:27.000"/>
    <d v="2019-03-05T00:00:00.000"/>
    <s v="EQ"/>
    <m/>
    <s v="B0T1S09"/>
    <s v="GB00B0T1S097"/>
    <s v="NASSTAR PLC"/>
    <s v="N"/>
    <s v="N"/>
    <s v="N/A"/>
    <m/>
    <m/>
    <m/>
    <s v="SELL"/>
    <n v="300000"/>
    <n v="300000"/>
    <s v="0.117"/>
    <s v="35100"/>
    <s v="35028.8"/>
    <s v="70.2"/>
    <s v="0"/>
    <s v="1"/>
    <s v="GBP"/>
    <s v="GBP"/>
    <n v="35028.8"/>
  </r>
  <r>
    <x v="0"/>
    <d v="2019-03-04T00:00:00.000"/>
    <s v="3000291"/>
    <s v="000408"/>
    <s v="Confirmed"/>
    <s v="N"/>
    <x v="10"/>
    <d v="2019-03-01T00:00:00.000"/>
    <d v="1899-12-30T11:01:00.000"/>
    <d v="2019-03-05T00:00:00.000"/>
    <s v="EQ"/>
    <m/>
    <s v="B031076"/>
    <s v="GB00B0310763"/>
    <s v="CELLO HEALTH PLC"/>
    <s v="N"/>
    <s v="N"/>
    <s v="N/A"/>
    <m/>
    <m/>
    <m/>
    <s v="BUY"/>
    <n v="11399"/>
    <n v="11399"/>
    <s v="1.07"/>
    <s v="12196.93"/>
    <s v="12222.32386"/>
    <s v="24.39386"/>
    <s v="0"/>
    <s v="1"/>
    <s v="GBP"/>
    <s v="GBP"/>
    <n v="12222.32386"/>
  </r>
  <r>
    <x v="0"/>
    <d v="2019-03-04T00:00:00.000"/>
    <s v="3000291"/>
    <s v="000409"/>
    <s v="Confirmed"/>
    <s v="N"/>
    <x v="1"/>
    <d v="2019-03-01T00:00:00.000"/>
    <d v="1899-12-30T11:23:48.000"/>
    <d v="2019-03-05T00:00:00.000"/>
    <s v="EQ"/>
    <m/>
    <s v="BYZSSY6"/>
    <s v="GG00BYZSSY63"/>
    <s v="DUKE ROYALTY LIMITED"/>
    <s v="N"/>
    <s v="N"/>
    <s v="N/A"/>
    <m/>
    <m/>
    <m/>
    <s v="BUY"/>
    <n v="325000"/>
    <n v="325000"/>
    <s v="0.4"/>
    <s v="130000"/>
    <s v="130261"/>
    <s v="260"/>
    <s v="0"/>
    <s v="1"/>
    <s v="GBP"/>
    <s v="GBP"/>
    <n v="130261"/>
  </r>
  <r>
    <x v="2"/>
    <d v="2019-03-04T00:00:00.000"/>
    <s v="3000292"/>
    <s v="000043"/>
    <s v="Confirmed"/>
    <s v="N"/>
    <x v="10"/>
    <d v="2019-03-01T00:00:00.000"/>
    <d v="1899-12-30T11:01:00.000"/>
    <d v="2019-03-05T00:00:00.000"/>
    <s v="EQ"/>
    <m/>
    <s v="B031076"/>
    <s v="GB00B0310763"/>
    <s v="CELLO HEALTH PLC"/>
    <s v="N"/>
    <s v="N"/>
    <s v="N/A"/>
    <m/>
    <m/>
    <m/>
    <s v="BUY"/>
    <n v="321"/>
    <n v="321"/>
    <s v="1.07"/>
    <s v="343.47"/>
    <s v="344.15694"/>
    <s v="0.68694"/>
    <s v="0"/>
    <s v="0"/>
    <s v="GBP"/>
    <s v="GBP"/>
    <n v="344.15694"/>
  </r>
  <r>
    <x v="1"/>
    <d v="2019-03-05T00:00:00.000"/>
    <s v="3000290"/>
    <s v="000486"/>
    <s v="Confirmed"/>
    <s v="N"/>
    <x v="11"/>
    <d v="2019-02-28T00:00:00.000"/>
    <d v="1899-12-30T09:00:00.000"/>
    <d v="2019-03-05T00:00:00.000"/>
    <s v="EQ"/>
    <m/>
    <s v="BG06MV4"/>
    <s v="GB00BG06MV41"/>
    <s v="GRC INTERNATIONAL GROUP PLC"/>
    <s v="N"/>
    <s v="Y"/>
    <s v="N"/>
    <m/>
    <m/>
    <m/>
    <s v="BUY"/>
    <n v="450000"/>
    <n v="450000"/>
    <s v="1"/>
    <s v="450000"/>
    <s v="450000"/>
    <s v="0"/>
    <s v="0"/>
    <s v="0"/>
    <s v="GBP"/>
    <s v="GBP"/>
    <n v="450000"/>
  </r>
  <r>
    <x v="1"/>
    <d v="2019-03-06T00:00:00.000"/>
    <s v="3000290"/>
    <s v="000487"/>
    <s v="Confirmed"/>
    <s v="N"/>
    <x v="5"/>
    <d v="2019-03-05T00:00:00.000"/>
    <d v="1899-12-30T14:47:33.000"/>
    <d v="2019-03-07T00:00:00.000"/>
    <s v="EQ"/>
    <m/>
    <s v="B0T1S09"/>
    <s v="GB00B0T1S097"/>
    <s v="NASSTAR PLC"/>
    <s v="N"/>
    <s v="N"/>
    <s v="N/A"/>
    <m/>
    <m/>
    <m/>
    <s v="SELL"/>
    <n v="1050000"/>
    <n v="1050000"/>
    <s v="0.117"/>
    <s v="122850"/>
    <s v="122603.3"/>
    <s v="245.7"/>
    <s v="0"/>
    <s v="1"/>
    <s v="GBP"/>
    <s v="GBP"/>
    <n v="122603.3"/>
  </r>
  <r>
    <x v="1"/>
    <d v="2019-03-06T00:00:00.000"/>
    <s v="3000290"/>
    <s v="000488"/>
    <s v="Confirmed"/>
    <s v="N"/>
    <x v="9"/>
    <d v="2019-03-05T00:00:00.000"/>
    <d v="1899-12-30T16:39:50.000"/>
    <d v="2019-03-07T00:00:00.000"/>
    <s v="EQ"/>
    <m/>
    <s v="0536301"/>
    <s v="GB0005363014"/>
    <s v="LOW &amp; BONAR PLC"/>
    <s v="N"/>
    <s v="N"/>
    <s v="N/A"/>
    <m/>
    <m/>
    <m/>
    <s v="SELL"/>
    <n v="416667"/>
    <n v="416667"/>
    <s v="0.1725"/>
    <s v="71875.0575"/>
    <s v="71730.30738"/>
    <s v="143.750115"/>
    <s v="0"/>
    <s v="1"/>
    <s v="GBP"/>
    <s v="GBP"/>
    <n v="71730.30738"/>
  </r>
  <r>
    <x v="0"/>
    <d v="2019-03-06T00:00:00.000"/>
    <s v="3000291"/>
    <s v="000410"/>
    <s v="Confirmed"/>
    <s v="N"/>
    <x v="9"/>
    <d v="2019-03-05T00:00:00.000"/>
    <d v="1899-12-30T16:39:50.000"/>
    <d v="2019-03-07T00:00:00.000"/>
    <s v="EQ"/>
    <m/>
    <s v="0536301"/>
    <s v="GB0005363014"/>
    <s v="LOW &amp; BONAR PLC"/>
    <s v="N"/>
    <s v="N"/>
    <s v="N/A"/>
    <m/>
    <m/>
    <m/>
    <s v="SELL"/>
    <n v="83333"/>
    <n v="83333"/>
    <s v="0.1725"/>
    <s v="14374.9425"/>
    <s v="14345.19262"/>
    <s v="28.749885"/>
    <s v="0"/>
    <s v="1"/>
    <s v="GBP"/>
    <s v="GBP"/>
    <n v="14345.19262"/>
  </r>
  <r>
    <x v="1"/>
    <d v="2019-03-12T00:00:00.000"/>
    <s v="3000290"/>
    <s v="000489"/>
    <s v="Confirmed"/>
    <s v="N"/>
    <x v="3"/>
    <d v="2019-03-11T00:00:00.000"/>
    <d v="1899-12-30T13:28:43.000"/>
    <d v="2019-03-12T00:00:00.000"/>
    <s v="EQ"/>
    <m/>
    <s v="BDHLGB9"/>
    <s v="GB00BDHLGB97"/>
    <s v="TAX SYSTEMS PLC"/>
    <s v="N"/>
    <s v="N"/>
    <s v="N/A"/>
    <m/>
    <m/>
    <m/>
    <s v="SELL"/>
    <n v="2538373"/>
    <n v="2538373"/>
    <s v="1.09375"/>
    <s v="2776345.469"/>
    <s v="2770791.778"/>
    <s v="5552.690938"/>
    <s v="0"/>
    <s v="1"/>
    <s v="GBP"/>
    <s v="GBP"/>
    <n v="2770791.778"/>
  </r>
  <r>
    <x v="2"/>
    <d v="2019-03-13T00:00:00.000"/>
    <s v="3000292"/>
    <s v="000044"/>
    <s v="Confirmed"/>
    <s v="N"/>
    <x v="7"/>
    <d v="2019-03-13T00:00:00.000"/>
    <d v="1899-12-30T10:42:00.000"/>
    <d v="2019-03-15T00:00:00.000"/>
    <s v="EQ"/>
    <m/>
    <s v="B040L80"/>
    <s v="GB00B040L800"/>
    <s v="STAFFLINE GROUP PLC"/>
    <s v="N"/>
    <s v="N"/>
    <s v="N/A"/>
    <m/>
    <m/>
    <m/>
    <s v="BUY"/>
    <n v="1000"/>
    <n v="1000"/>
    <s v="8.85"/>
    <s v="8850"/>
    <s v="8867.7"/>
    <s v="17.7"/>
    <s v="0"/>
    <s v="0"/>
    <s v="GBP"/>
    <s v="GBP"/>
    <n v="8867.7"/>
  </r>
  <r>
    <x v="2"/>
    <d v="2019-03-14T00:00:00.000"/>
    <s v="3000292"/>
    <s v="000045"/>
    <s v="Confirmed"/>
    <s v="N"/>
    <x v="7"/>
    <d v="2019-03-13T00:00:00.000"/>
    <d v="1899-12-30T13:25:00.000"/>
    <d v="2019-03-15T00:00:00.000"/>
    <s v="EQ"/>
    <m/>
    <s v="B040L80"/>
    <s v="GB00B040L800"/>
    <s v="STAFFLINE GROUP PLC"/>
    <s v="N"/>
    <s v="N"/>
    <s v="N/A"/>
    <m/>
    <m/>
    <m/>
    <s v="BUY"/>
    <n v="1000"/>
    <n v="1000"/>
    <s v="8.75"/>
    <s v="8750"/>
    <s v="8767.5"/>
    <s v="17.5"/>
    <s v="0"/>
    <s v="0"/>
    <s v="GBP"/>
    <s v="GBP"/>
    <n v="8767.5"/>
  </r>
  <r>
    <x v="2"/>
    <d v="2019-03-14T00:00:00.000"/>
    <s v="3000292"/>
    <s v="000046"/>
    <s v="Confirmed"/>
    <s v="N"/>
    <x v="7"/>
    <d v="2019-03-13T00:00:00.000"/>
    <d v="1899-12-30T13:37:00.000"/>
    <d v="2019-03-15T00:00:00.000"/>
    <s v="EQ"/>
    <m/>
    <s v="B040L80"/>
    <s v="GB00B040L800"/>
    <s v="STAFFLINE GROUP PLC"/>
    <s v="N"/>
    <s v="N"/>
    <s v="N/A"/>
    <m/>
    <m/>
    <m/>
    <s v="BUY"/>
    <n v="800"/>
    <n v="800"/>
    <s v="8.75"/>
    <s v="7000"/>
    <s v="7014"/>
    <s v="14"/>
    <s v="0"/>
    <s v="0"/>
    <s v="GBP"/>
    <s v="GBP"/>
    <n v="7014"/>
  </r>
  <r>
    <x v="1"/>
    <d v="2019-03-18T00:00:00.000"/>
    <s v="3000290"/>
    <s v="000490"/>
    <s v="Confirmed"/>
    <s v="N"/>
    <x v="9"/>
    <d v="2019-03-15T00:00:00.000"/>
    <d v="1899-12-30T15:31:05.000"/>
    <d v="2019-03-19T00:00:00.000"/>
    <s v="EQ"/>
    <m/>
    <s v="0536301"/>
    <s v="GB0005363014"/>
    <s v="LOW &amp; BONAR PLC"/>
    <s v="N"/>
    <s v="N"/>
    <s v="N/A"/>
    <m/>
    <m/>
    <m/>
    <s v="SELL"/>
    <n v="293970"/>
    <n v="293970"/>
    <s v="0.178252"/>
    <s v="52400.74044"/>
    <s v="52294.93896"/>
    <s v="104.8014809"/>
    <s v="0"/>
    <s v="1"/>
    <s v="GBP"/>
    <s v="GBP"/>
    <n v="52294.93896"/>
  </r>
  <r>
    <x v="0"/>
    <d v="2019-03-18T00:00:00.000"/>
    <s v="3000291"/>
    <s v="000411"/>
    <s v="Confirmed"/>
    <s v="N"/>
    <x v="9"/>
    <d v="2019-03-15T00:00:00.000"/>
    <d v="1899-12-30T15:31:05.000"/>
    <d v="2019-03-19T00:00:00.000"/>
    <s v="EQ"/>
    <m/>
    <s v="0536301"/>
    <s v="GB0005363014"/>
    <s v="LOW &amp; BONAR PLC"/>
    <s v="N"/>
    <s v="N"/>
    <s v="N/A"/>
    <m/>
    <m/>
    <m/>
    <s v="SELL"/>
    <n v="58794"/>
    <n v="58794"/>
    <s v="0.178252"/>
    <s v="10480.14809"/>
    <s v="10458.18779"/>
    <s v="20.96029618"/>
    <s v="0"/>
    <s v="1"/>
    <s v="GBP"/>
    <s v="GBP"/>
    <n v="10458.18779"/>
  </r>
  <r>
    <x v="0"/>
    <d v="2019-03-19T00:00:00.000"/>
    <s v="3000291"/>
    <s v="000412"/>
    <s v="Confirmed"/>
    <s v="N"/>
    <x v="12"/>
    <d v="2019-03-18T00:00:00.000"/>
    <d v="1899-12-30T16:42:36.000"/>
    <d v="2019-03-20T00:00:00.000"/>
    <s v="EQ"/>
    <m/>
    <s v="B29H425"/>
    <s v="GB00B29H4253"/>
    <s v="TYMAN PLC"/>
    <s v="N"/>
    <s v="N"/>
    <s v="N/A"/>
    <m/>
    <m/>
    <m/>
    <s v="SELL"/>
    <n v="219000"/>
    <n v="219000"/>
    <s v="2.5212588"/>
    <s v="552155.6772"/>
    <s v="551050.3658"/>
    <s v="1104.311354"/>
    <s v="0"/>
    <s v="1"/>
    <s v="GBP"/>
    <s v="GBP"/>
    <n v="551050.3658"/>
  </r>
  <r>
    <x v="2"/>
    <d v="2019-03-19T00:00:00.000"/>
    <s v="3000292"/>
    <s v="000047"/>
    <s v="Confirmed"/>
    <s v="N"/>
    <x v="12"/>
    <d v="2019-03-18T00:00:00.000"/>
    <d v="1899-12-30T16:42:36.000"/>
    <d v="2019-03-20T00:00:00.000"/>
    <s v="EQ"/>
    <m/>
    <s v="B29H425"/>
    <s v="GB00B29H4253"/>
    <s v="TYMAN PLC"/>
    <s v="N"/>
    <s v="N"/>
    <s v="N/A"/>
    <m/>
    <m/>
    <m/>
    <s v="SELL"/>
    <n v="8200"/>
    <n v="8200"/>
    <s v="2.5212588"/>
    <s v="20674.32216"/>
    <s v="20631.97352"/>
    <s v="41.34864432"/>
    <s v="0"/>
    <s v="1"/>
    <s v="GBP"/>
    <s v="GBP"/>
    <n v="20631.97352"/>
  </r>
  <r>
    <x v="1"/>
    <d v="2019-03-20T00:00:00.000"/>
    <s v="3000290"/>
    <s v="000492"/>
    <s v="Confirmed"/>
    <s v="N"/>
    <x v="5"/>
    <d v="2019-03-19T00:00:00.000"/>
    <d v="1899-12-30T15:06:41.000"/>
    <d v="2019-03-21T00:00:00.000"/>
    <s v="EQ"/>
    <m/>
    <s v="B0T1S09"/>
    <s v="GB00B0T1S097"/>
    <s v="NASSTAR PLC"/>
    <s v="N"/>
    <s v="N"/>
    <s v="N/A"/>
    <m/>
    <m/>
    <m/>
    <s v="SELL"/>
    <n v="2700000"/>
    <n v="2700000"/>
    <s v="0.117"/>
    <s v="315900"/>
    <s v="315267.2"/>
    <s v="631.8"/>
    <s v="0"/>
    <s v="1"/>
    <s v="GBP"/>
    <s v="GBP"/>
    <n v="315267.2"/>
  </r>
  <r>
    <x v="0"/>
    <d v="2019-03-20T00:00:00.000"/>
    <s v="3000291"/>
    <s v="000413"/>
    <s v="Confirmed"/>
    <s v="N"/>
    <x v="1"/>
    <d v="2019-03-19T00:00:00.000"/>
    <d v="1899-12-30T12:42:18.000"/>
    <d v="2019-03-21T00:00:00.000"/>
    <s v="EQ"/>
    <m/>
    <s v="BF0HYJ2"/>
    <s v="GB00BF0HYJ24"/>
    <s v="ARENA EVENTS GROUP PLC"/>
    <s v="N"/>
    <s v="N"/>
    <s v="N/A"/>
    <m/>
    <m/>
    <m/>
    <s v="BUY"/>
    <n v="712000"/>
    <n v="712000"/>
    <s v="0.32"/>
    <s v="227840"/>
    <s v="228296.68"/>
    <s v="455.68"/>
    <s v="0"/>
    <s v="1"/>
    <s v="GBP"/>
    <s v="GBP"/>
    <n v="228296.68"/>
  </r>
  <r>
    <x v="0"/>
    <d v="2019-03-20T00:00:00.000"/>
    <s v="3000291"/>
    <s v="000414"/>
    <s v="Confirmed"/>
    <s v="N"/>
    <x v="7"/>
    <d v="2019-03-19T00:00:00.000"/>
    <d v="1899-12-30T15:21:00.000"/>
    <d v="2019-03-21T00:00:00.000"/>
    <s v="EQ"/>
    <m/>
    <s v="B040L80"/>
    <s v="GB00B040L800"/>
    <s v="STAFFLINE GROUP PLC"/>
    <s v="N"/>
    <s v="N"/>
    <s v="N/A"/>
    <m/>
    <m/>
    <m/>
    <s v="BUY"/>
    <n v="45000"/>
    <n v="45000"/>
    <s v="8.82"/>
    <s v="396900"/>
    <s v="397694.8"/>
    <s v="793.8"/>
    <s v="0"/>
    <s v="1"/>
    <s v="GBP"/>
    <s v="GBP"/>
    <n v="397694.8"/>
  </r>
  <r>
    <x v="1"/>
    <d v="2019-03-21T00:00:00.000"/>
    <s v="3000290"/>
    <s v="000493"/>
    <s v="Confirmed"/>
    <s v="N"/>
    <x v="1"/>
    <d v="2019-03-18T00:00:00.000"/>
    <d v="1899-12-30T08:00:00.000"/>
    <d v="2019-03-21T00:00:00.000"/>
    <s v="EQ"/>
    <m/>
    <s v="BJQTGV6"/>
    <s v="GB00BJQTGV64"/>
    <s v="DIACEUTICS PLC"/>
    <s v="N"/>
    <s v="Y"/>
    <s v="N"/>
    <m/>
    <m/>
    <m/>
    <s v="BUY"/>
    <n v="1947500"/>
    <n v="1947500"/>
    <s v="0.76"/>
    <s v="1480100"/>
    <s v="1480100"/>
    <s v="0"/>
    <s v="0"/>
    <s v="0"/>
    <s v="GBP"/>
    <s v="GBP"/>
    <n v="1480100"/>
  </r>
  <r>
    <x v="0"/>
    <d v="2019-03-21T00:00:00.000"/>
    <s v="3000291"/>
    <s v="000415"/>
    <s v="Confirmed"/>
    <s v="N"/>
    <x v="3"/>
    <d v="2019-03-20T00:00:00.000"/>
    <d v="1899-12-30T11:43:32.000"/>
    <d v="2019-03-22T00:00:00.000"/>
    <s v="EQ"/>
    <m/>
    <s v="BYWVDP4"/>
    <s v="GB00BYWVDP49"/>
    <s v="SABRE INSURANCE GROUP PLC"/>
    <s v="N"/>
    <s v="N"/>
    <s v="N/A"/>
    <m/>
    <m/>
    <m/>
    <s v="BUY"/>
    <n v="5500"/>
    <n v="5500"/>
    <s v="2.87"/>
    <s v="15785"/>
    <s v="15896.65"/>
    <s v="31.57"/>
    <s v="0"/>
    <s v="80.08"/>
    <s v="GBP"/>
    <s v="GBP"/>
    <n v="15896.65"/>
  </r>
  <r>
    <x v="0"/>
    <d v="2019-03-21T00:00:00.000"/>
    <s v="3000291"/>
    <s v="000416"/>
    <s v="Confirmed"/>
    <s v="N"/>
    <x v="3"/>
    <d v="2019-03-20T00:00:00.000"/>
    <d v="1899-12-30T16:35:56.000"/>
    <d v="2019-03-22T00:00:00.000"/>
    <s v="EQ"/>
    <m/>
    <s v="BYWVDP4"/>
    <s v="GB00BYWVDP49"/>
    <s v="SABRE INSURANCE GROUP PLC"/>
    <s v="N"/>
    <s v="N"/>
    <s v="N/A"/>
    <m/>
    <m/>
    <m/>
    <s v="BUY"/>
    <n v="25000"/>
    <n v="25000"/>
    <s v="2.897"/>
    <s v="72425"/>
    <s v="72933.7"/>
    <s v="144.85"/>
    <s v="0"/>
    <s v="363.85"/>
    <s v="GBP"/>
    <s v="GBP"/>
    <n v="72933.7"/>
  </r>
  <r>
    <x v="2"/>
    <d v="2019-03-21T00:00:00.000"/>
    <s v="3000292"/>
    <s v="000048"/>
    <s v="Confirmed"/>
    <s v="N"/>
    <x v="1"/>
    <d v="2019-03-20T00:00:00.000"/>
    <d v="1899-12-30T11:51:36.000"/>
    <d v="2019-03-22T00:00:00.000"/>
    <s v="EQ"/>
    <m/>
    <s v="0452690"/>
    <s v="GB0004526900"/>
    <s v="IG DESIGN GROUP PLC"/>
    <s v="N"/>
    <s v="N"/>
    <s v="N/A"/>
    <m/>
    <m/>
    <m/>
    <s v="BUY"/>
    <n v="480"/>
    <n v="480"/>
    <s v="5.52"/>
    <s v="2649.6"/>
    <s v="2654.8992"/>
    <s v="5.2992"/>
    <s v="0"/>
    <s v="0"/>
    <s v="GBP"/>
    <s v="GBP"/>
    <n v="2654.8992"/>
  </r>
  <r>
    <x v="2"/>
    <d v="2019-03-21T00:00:00.000"/>
    <s v="3000292"/>
    <s v="000049"/>
    <s v="Confirmed"/>
    <s v="N"/>
    <x v="2"/>
    <d v="2019-03-20T00:00:00.000"/>
    <d v="1899-12-30T12:22:00.000"/>
    <d v="2019-03-22T00:00:00.000"/>
    <s v="EQ"/>
    <m/>
    <s v="0176581"/>
    <s v="GB0001765816"/>
    <s v="BREWIN DOLPHIN HOLDINGS PLC"/>
    <s v="N"/>
    <s v="N"/>
    <s v="N/A"/>
    <m/>
    <m/>
    <m/>
    <s v="BUY"/>
    <n v="1150"/>
    <n v="1150"/>
    <s v="3.302"/>
    <s v="3797.3"/>
    <s v="3823.9146"/>
    <s v="7.5946"/>
    <s v="0"/>
    <s v="19.02"/>
    <s v="GBP"/>
    <s v="GBP"/>
    <n v="3823.9146"/>
  </r>
  <r>
    <x v="2"/>
    <d v="2019-03-21T00:00:00.000"/>
    <s v="3000292"/>
    <s v="000050"/>
    <s v="Confirmed"/>
    <s v="N"/>
    <x v="2"/>
    <d v="2019-03-20T00:00:00.000"/>
    <d v="1899-12-30T12:14:00.000"/>
    <d v="2019-03-22T00:00:00.000"/>
    <s v="EQ"/>
    <m/>
    <s v="B286382"/>
    <s v="GB00B2863827"/>
    <s v="CVS GROUP PLC"/>
    <s v="N"/>
    <s v="N"/>
    <s v="N/A"/>
    <m/>
    <m/>
    <m/>
    <s v="BUY"/>
    <n v="400"/>
    <n v="400"/>
    <s v="5.0035"/>
    <s v="2001.4"/>
    <s v="2005.4028"/>
    <s v="4.0028"/>
    <s v="0"/>
    <s v="0"/>
    <s v="GBP"/>
    <s v="GBP"/>
    <n v="2005.4028"/>
  </r>
  <r>
    <x v="2"/>
    <d v="2019-03-21T00:00:00.000"/>
    <s v="3000292"/>
    <s v="000051"/>
    <s v="Confirmed"/>
    <s v="N"/>
    <x v="9"/>
    <d v="2019-03-20T00:00:00.000"/>
    <d v="1899-12-30T13:27:04.000"/>
    <d v="2019-03-22T00:00:00.000"/>
    <s v="EQ"/>
    <m/>
    <s v="0371847"/>
    <s v="GB0003718474"/>
    <s v="GAMES WORKSHOP GROUP PLC"/>
    <s v="N"/>
    <s v="N"/>
    <s v="N/A"/>
    <m/>
    <m/>
    <m/>
    <s v="BUY"/>
    <n v="160"/>
    <n v="160"/>
    <s v="30.15"/>
    <s v="4824"/>
    <s v="4857.818"/>
    <s v="9.648"/>
    <s v="0"/>
    <s v="24.17"/>
    <s v="GBP"/>
    <s v="GBP"/>
    <n v="4857.818"/>
  </r>
  <r>
    <x v="2"/>
    <d v="2019-03-21T00:00:00.000"/>
    <s v="3000292"/>
    <s v="000052"/>
    <s v="Confirmed"/>
    <s v="N"/>
    <x v="9"/>
    <d v="2019-03-20T00:00:00.000"/>
    <d v="1899-12-30T13:27:11.000"/>
    <d v="2019-03-22T00:00:00.000"/>
    <s v="EQ"/>
    <m/>
    <s v="0687061"/>
    <s v="GB0006870611"/>
    <s v="GB GROUP PLC"/>
    <s v="N"/>
    <s v="N"/>
    <s v="N/A"/>
    <m/>
    <m/>
    <m/>
    <s v="BUY"/>
    <n v="1500"/>
    <n v="1500"/>
    <s v="4.839887"/>
    <s v="7259.8305"/>
    <s v="7274.350161"/>
    <s v="14.519661"/>
    <s v="0"/>
    <s v="0"/>
    <s v="GBP"/>
    <s v="GBP"/>
    <n v="7274.350161"/>
  </r>
  <r>
    <x v="2"/>
    <d v="2019-03-21T00:00:00.000"/>
    <s v="3000292"/>
    <s v="000053"/>
    <s v="Confirmed"/>
    <s v="N"/>
    <x v="9"/>
    <d v="2019-03-20T00:00:00.000"/>
    <d v="1899-12-30T13:27:00.000"/>
    <d v="2019-03-22T00:00:00.000"/>
    <s v="EQ"/>
    <m/>
    <s v="0490526"/>
    <s v="GB0004905260"/>
    <s v="IMPAX ASSET MANAGEMENT GROUP PLC"/>
    <s v="N"/>
    <s v="N"/>
    <s v="N/A"/>
    <m/>
    <m/>
    <m/>
    <s v="BUY"/>
    <n v="2000"/>
    <n v="2000"/>
    <s v="2.27"/>
    <s v="4540"/>
    <s v="4549.08"/>
    <s v="9.08"/>
    <s v="0"/>
    <s v="0"/>
    <s v="GBP"/>
    <s v="GBP"/>
    <n v="4549.08"/>
  </r>
  <r>
    <x v="2"/>
    <d v="2019-03-21T00:00:00.000"/>
    <s v="3000292"/>
    <s v="000054"/>
    <s v="Confirmed"/>
    <s v="N"/>
    <x v="9"/>
    <d v="2019-03-20T00:00:00.000"/>
    <d v="1899-12-30T13:27:07.000"/>
    <d v="2019-03-22T00:00:00.000"/>
    <s v="EQ"/>
    <m/>
    <s v="0879471"/>
    <s v="GB0008794710"/>
    <s v="TELECOM PLUS PLC"/>
    <s v="N"/>
    <s v="N"/>
    <s v="N/A"/>
    <m/>
    <m/>
    <m/>
    <s v="BUY"/>
    <n v="600"/>
    <n v="600"/>
    <s v="14.77"/>
    <s v="8862"/>
    <s v="8924.124"/>
    <s v="17.724"/>
    <s v="0"/>
    <s v="44.4"/>
    <s v="GBP"/>
    <s v="GBP"/>
    <n v="8924.124"/>
  </r>
  <r>
    <x v="2"/>
    <d v="2019-03-21T00:00:00.000"/>
    <s v="3000292"/>
    <s v="000055"/>
    <s v="Confirmed"/>
    <s v="N"/>
    <x v="9"/>
    <d v="2019-03-20T00:00:00.000"/>
    <d v="1899-12-30T13:26:58.000"/>
    <d v="2019-03-22T00:00:00.000"/>
    <s v="EQ"/>
    <m/>
    <s v="BDDN1T2"/>
    <s v="GB00BDDN1T20"/>
    <s v="XPS PENSIONS GROUP PLC"/>
    <s v="N"/>
    <s v="N"/>
    <s v="N/A"/>
    <m/>
    <m/>
    <m/>
    <s v="BUY"/>
    <n v="2150"/>
    <n v="2150"/>
    <s v="1.4"/>
    <s v="3010"/>
    <s v="3031.1"/>
    <s v="6.02"/>
    <s v="0"/>
    <s v="15.08"/>
    <s v="GBP"/>
    <s v="GBP"/>
    <n v="3031.1"/>
  </r>
  <r>
    <x v="2"/>
    <d v="2019-03-21T00:00:00.000"/>
    <s v="3000292"/>
    <s v="000056"/>
    <s v="Confirmed"/>
    <s v="N"/>
    <x v="3"/>
    <d v="2019-03-20T00:00:00.000"/>
    <d v="1899-12-30T12:58:40.000"/>
    <d v="2019-03-22T00:00:00.000"/>
    <s v="EQ"/>
    <m/>
    <s v="BYN5913"/>
    <s v="GB00BYN59130"/>
    <s v="DOMINO'S PIZZA GROUP PLC"/>
    <s v="N"/>
    <s v="N"/>
    <s v="N/A"/>
    <m/>
    <m/>
    <m/>
    <s v="BUY"/>
    <n v="2000"/>
    <n v="2000"/>
    <s v="2.368"/>
    <s v="4736"/>
    <s v="4769.202"/>
    <s v="9.472"/>
    <s v="0"/>
    <s v="23.73"/>
    <s v="GBP"/>
    <s v="GBP"/>
    <n v="4769.202"/>
  </r>
  <r>
    <x v="2"/>
    <d v="2019-03-21T00:00:00.000"/>
    <s v="3000292"/>
    <s v="000057"/>
    <s v="Confirmed"/>
    <s v="N"/>
    <x v="3"/>
    <d v="2019-03-20T00:00:00.000"/>
    <d v="1899-12-30T16:31:22.000"/>
    <d v="2019-03-22T00:00:00.000"/>
    <s v="EQ"/>
    <m/>
    <s v="BQSBH50"/>
    <s v="GB00BQSBH502"/>
    <s v="MORTGAGE ADVICE BUREAU (HOLDINGS) PLC"/>
    <s v="N"/>
    <s v="N"/>
    <s v="N/A"/>
    <m/>
    <m/>
    <m/>
    <s v="BUY"/>
    <n v="850"/>
    <n v="850"/>
    <s v="5.55"/>
    <s v="4717.5"/>
    <s v="4726.935"/>
    <s v="9.435"/>
    <s v="0"/>
    <s v="0"/>
    <s v="GBP"/>
    <s v="GBP"/>
    <n v="4726.935"/>
  </r>
  <r>
    <x v="2"/>
    <d v="2019-03-21T00:00:00.000"/>
    <s v="3000292"/>
    <s v="000058"/>
    <s v="Confirmed"/>
    <s v="N"/>
    <x v="3"/>
    <d v="2019-03-20T00:00:00.000"/>
    <d v="1899-12-30T11:34:35.000"/>
    <d v="2019-03-22T00:00:00.000"/>
    <s v="EQ"/>
    <m/>
    <s v="BF020D3"/>
    <s v="GB00BF020D33"/>
    <s v="TEN ENTERTAINMENT GROUP PLC"/>
    <s v="N"/>
    <s v="N"/>
    <s v="N/A"/>
    <m/>
    <m/>
    <m/>
    <s v="BUY"/>
    <n v="2100"/>
    <n v="2100"/>
    <s v="2.2"/>
    <s v="4620"/>
    <s v="4652.39"/>
    <s v="9.24"/>
    <s v="0"/>
    <s v="23.15"/>
    <s v="GBP"/>
    <s v="GBP"/>
    <n v="4652.39"/>
  </r>
  <r>
    <x v="2"/>
    <d v="2019-03-21T00:00:00.000"/>
    <s v="3000292"/>
    <s v="000059"/>
    <s v="Confirmed"/>
    <s v="N"/>
    <x v="12"/>
    <d v="2019-03-21T00:00:00.000"/>
    <d v="1899-12-30T08:06:39.000"/>
    <d v="2019-03-25T00:00:00.000"/>
    <s v="EQ"/>
    <m/>
    <s v="BDB7J92"/>
    <s v="GB00BDB7J920"/>
    <s v="FILTA GROUP HOLDINGS PLC"/>
    <s v="N"/>
    <s v="N"/>
    <s v="N/A"/>
    <m/>
    <m/>
    <m/>
    <s v="BUY"/>
    <n v="6200"/>
    <n v="6200"/>
    <s v="2.35"/>
    <s v="14570"/>
    <s v="14600.14"/>
    <s v="29.14"/>
    <s v="0"/>
    <s v="1"/>
    <s v="GBP"/>
    <s v="GBP"/>
    <n v="14600.14"/>
  </r>
  <r>
    <x v="2"/>
    <d v="2019-03-21T00:00:00.000"/>
    <s v="3000292"/>
    <s v="000059"/>
    <s v="Confirmed"/>
    <s v="N"/>
    <x v="3"/>
    <d v="2019-03-20T00:00:00.000"/>
    <d v="1899-12-30T11:40:16.000"/>
    <d v="2019-03-22T00:00:00.000"/>
    <s v="EQ"/>
    <m/>
    <s v="BYYJL41"/>
    <s v="GB00BYYJL418"/>
    <s v="NORCROS PLC"/>
    <s v="N"/>
    <s v="N"/>
    <s v="N/A"/>
    <m/>
    <m/>
    <m/>
    <s v="SELL"/>
    <n v="1800"/>
    <n v="1800"/>
    <s v="1.9275"/>
    <s v="3469.5"/>
    <s v="3462.561"/>
    <s v="6.939"/>
    <s v="0"/>
    <s v="0"/>
    <s v="GBP"/>
    <s v="GBP"/>
    <n v="3462.561"/>
  </r>
  <r>
    <x v="2"/>
    <d v="2019-03-21T00:00:00.000"/>
    <s v="3000292"/>
    <s v="000060"/>
    <s v="Confirmed"/>
    <s v="N"/>
    <x v="3"/>
    <d v="2019-03-20T00:00:00.000"/>
    <d v="1899-12-30T11:48:26.000"/>
    <d v="2019-03-22T00:00:00.000"/>
    <s v="EQ"/>
    <m/>
    <s v="BN7ZCY6"/>
    <s v="GB00BN7ZCY67"/>
    <s v="ERGOMED PLC"/>
    <s v="N"/>
    <s v="N"/>
    <s v="N/A"/>
    <m/>
    <m/>
    <m/>
    <s v="SELL"/>
    <n v="1700"/>
    <n v="1700"/>
    <s v="1.665"/>
    <s v="2830.5"/>
    <s v="2824.839"/>
    <s v="5.661"/>
    <s v="0"/>
    <s v="0"/>
    <s v="GBP"/>
    <s v="GBP"/>
    <n v="2824.839"/>
  </r>
  <r>
    <x v="2"/>
    <d v="2019-03-21T00:00:00.000"/>
    <s v="3000292"/>
    <s v="000061"/>
    <s v="Confirmed"/>
    <s v="N"/>
    <x v="2"/>
    <d v="2019-03-20T00:00:00.000"/>
    <d v="1899-12-30T12:14:00.000"/>
    <d v="2019-03-22T00:00:00.000"/>
    <s v="EQ"/>
    <m/>
    <s v="0638939"/>
    <s v="GB0006389398"/>
    <s v="NICHOLS PLC"/>
    <s v="N"/>
    <s v="N"/>
    <s v="N/A"/>
    <m/>
    <m/>
    <m/>
    <s v="SELL"/>
    <n v="230"/>
    <n v="230"/>
    <s v="15.975"/>
    <s v="3674.25"/>
    <s v="3666.9015"/>
    <s v="7.3485"/>
    <s v="0"/>
    <s v="0"/>
    <s v="GBP"/>
    <s v="GBP"/>
    <n v="3666.9015"/>
  </r>
  <r>
    <x v="2"/>
    <d v="2019-03-21T00:00:00.000"/>
    <s v="3000292"/>
    <s v="000062"/>
    <s v="Confirmed"/>
    <s v="N"/>
    <x v="2"/>
    <d v="2019-03-20T00:00:00.000"/>
    <d v="1899-12-30T12:20:00.000"/>
    <d v="2019-03-22T00:00:00.000"/>
    <s v="EQ"/>
    <m/>
    <s v="BF16C05"/>
    <s v="GB00BF16C058"/>
    <s v="ALPHA FINANCIAL MARKETS CONSULTING PLC"/>
    <s v="N"/>
    <s v="N"/>
    <s v="N/A"/>
    <m/>
    <m/>
    <m/>
    <s v="SELL"/>
    <n v="800"/>
    <n v="800"/>
    <s v="2.56"/>
    <s v="2048"/>
    <s v="2043.904"/>
    <s v="4.096"/>
    <s v="0"/>
    <s v="0"/>
    <s v="GBP"/>
    <s v="GBP"/>
    <n v="2043.904"/>
  </r>
  <r>
    <x v="2"/>
    <d v="2019-03-21T00:00:00.000"/>
    <s v="3000292"/>
    <s v="000063"/>
    <s v="Confirmed"/>
    <s v="N"/>
    <x v="2"/>
    <d v="2019-03-20T00:00:00.000"/>
    <d v="1899-12-30T12:20:00.000"/>
    <d v="2019-03-22T00:00:00.000"/>
    <s v="EQ"/>
    <m/>
    <s v="BYMK425"/>
    <s v="GG00BYMK4250"/>
    <s v="SAFECHARGE INTERNATIONAL GROUP LIMITED"/>
    <s v="N"/>
    <s v="N"/>
    <s v="N/A"/>
    <m/>
    <m/>
    <m/>
    <s v="SELL"/>
    <n v="900"/>
    <n v="900"/>
    <s v="2.9"/>
    <s v="2610"/>
    <s v="2604.78"/>
    <s v="5.22"/>
    <s v="0"/>
    <s v="0"/>
    <s v="GBP"/>
    <s v="GBP"/>
    <n v="2604.78"/>
  </r>
  <r>
    <x v="2"/>
    <d v="2019-03-21T00:00:00.000"/>
    <s v="3000292"/>
    <s v="000064"/>
    <s v="Confirmed"/>
    <s v="N"/>
    <x v="13"/>
    <d v="2019-03-20T00:00:00.000"/>
    <d v="1899-12-30T12:25:00.000"/>
    <d v="2019-03-22T00:00:00.000"/>
    <s v="EQ"/>
    <m/>
    <s v="0737007"/>
    <s v="GB0007370074"/>
    <s v="RICARDO PLC"/>
    <s v="N"/>
    <s v="N"/>
    <s v="N/A"/>
    <m/>
    <m/>
    <m/>
    <s v="SELL"/>
    <n v="750"/>
    <n v="750"/>
    <s v="6.96"/>
    <s v="5220"/>
    <s v="5209.56"/>
    <s v="10.44"/>
    <s v="0"/>
    <s v="0"/>
    <s v="GBP"/>
    <s v="GBP"/>
    <n v="5209.56"/>
  </r>
  <r>
    <x v="2"/>
    <d v="2019-03-21T00:00:00.000"/>
    <s v="3000292"/>
    <s v="000065"/>
    <s v="Confirmed"/>
    <s v="N"/>
    <x v="13"/>
    <d v="2019-03-20T00:00:00.000"/>
    <d v="1899-12-30T12:26:00.000"/>
    <d v="2019-03-22T00:00:00.000"/>
    <s v="EQ"/>
    <m/>
    <s v="BVRZ8S8"/>
    <s v="JE00BVRZ8S85"/>
    <s v="SANNE GROUP PLC"/>
    <s v="N"/>
    <s v="N"/>
    <s v="N/A"/>
    <m/>
    <m/>
    <m/>
    <s v="SELL"/>
    <n v="2100"/>
    <n v="2100"/>
    <s v="5.17"/>
    <s v="10857"/>
    <s v="10834.286"/>
    <s v="21.714"/>
    <s v="0"/>
    <s v="1"/>
    <s v="GBP"/>
    <s v="GBP"/>
    <n v="10834.286"/>
  </r>
  <r>
    <x v="2"/>
    <d v="2019-03-21T00:00:00.000"/>
    <s v="3000292"/>
    <s v="000066"/>
    <s v="Confirmed"/>
    <s v="N"/>
    <x v="9"/>
    <d v="2019-03-20T00:00:00.000"/>
    <d v="1899-12-30T13:26:52.000"/>
    <d v="2019-03-22T00:00:00.000"/>
    <s v="EQ"/>
    <m/>
    <s v="0664097"/>
    <s v="GB0006640972"/>
    <s v="4IMPRINT GROUP PLC"/>
    <s v="N"/>
    <s v="N"/>
    <s v="N/A"/>
    <m/>
    <m/>
    <m/>
    <s v="SELL"/>
    <n v="200"/>
    <n v="200"/>
    <s v="23.9"/>
    <s v="4780"/>
    <s v="4770.44"/>
    <s v="9.56"/>
    <s v="0"/>
    <s v="0"/>
    <s v="GBP"/>
    <s v="GBP"/>
    <n v="4770.44"/>
  </r>
  <r>
    <x v="2"/>
    <d v="2019-03-21T00:00:00.000"/>
    <s v="3000292"/>
    <s v="000067"/>
    <s v="Confirmed"/>
    <s v="N"/>
    <x v="9"/>
    <d v="2019-03-20T00:00:00.000"/>
    <d v="1899-12-30T13:26:55.000"/>
    <d v="2019-03-22T00:00:00.000"/>
    <s v="EQ"/>
    <m/>
    <s v="0005588"/>
    <s v="GB0000055888"/>
    <s v="DISCOVERIE GROUP PLC"/>
    <s v="N"/>
    <s v="N"/>
    <s v="N/A"/>
    <m/>
    <m/>
    <m/>
    <s v="SELL"/>
    <n v="2300"/>
    <n v="2300"/>
    <s v="4.02"/>
    <s v="9246"/>
    <s v="9227.508"/>
    <s v="18.492"/>
    <s v="0"/>
    <s v="0"/>
    <s v="GBP"/>
    <s v="GBP"/>
    <n v="9227.508"/>
  </r>
  <r>
    <x v="2"/>
    <d v="2019-03-21T00:00:00.000"/>
    <s v="3000292"/>
    <s v="000068"/>
    <s v="Confirmed"/>
    <s v="N"/>
    <x v="9"/>
    <d v="2019-03-20T00:00:00.000"/>
    <d v="1899-12-30T16:41:20.000"/>
    <d v="2019-03-22T00:00:00.000"/>
    <s v="EQ"/>
    <m/>
    <s v="B0MT3Y9"/>
    <s v="GB00B0MT3Y97"/>
    <s v="MATTIOLI WOODS PLC"/>
    <s v="N"/>
    <s v="N"/>
    <s v="N/A"/>
    <m/>
    <m/>
    <m/>
    <s v="SELL"/>
    <n v="800"/>
    <n v="800"/>
    <s v="7.65"/>
    <s v="6120"/>
    <s v="6107.76"/>
    <s v="12.24"/>
    <s v="0"/>
    <s v="0"/>
    <s v="GBP"/>
    <s v="GBP"/>
    <n v="6107.76"/>
  </r>
  <r>
    <x v="0"/>
    <d v="2019-03-22T00:00:00.000"/>
    <s v="3000291"/>
    <s v="000417"/>
    <s v="Confirmed"/>
    <s v="N"/>
    <x v="9"/>
    <d v="2019-03-21T00:00:00.000"/>
    <d v="1899-12-30T16:38:40.000"/>
    <d v="2019-03-25T00:00:00.000"/>
    <s v="EQ"/>
    <m/>
    <s v="BYWVDP4"/>
    <s v="GB00BYWVDP49"/>
    <s v="SABRE INSURANCE GROUP PLC"/>
    <s v="N"/>
    <s v="N"/>
    <s v="N/A"/>
    <m/>
    <m/>
    <m/>
    <s v="BUY"/>
    <n v="21253"/>
    <n v="21253"/>
    <s v="2.9"/>
    <s v="61633.7"/>
    <s v="62066.7474"/>
    <s v="123.2674"/>
    <s v="0"/>
    <s v="309.78"/>
    <s v="GBP"/>
    <s v="GBP"/>
    <n v="62066.7474"/>
  </r>
  <r>
    <x v="0"/>
    <d v="2019-03-22T00:00:00.000"/>
    <s v="3000291"/>
    <s v="000418"/>
    <s v="Confirmed"/>
    <s v="N"/>
    <x v="3"/>
    <d v="2019-03-21T00:00:00.000"/>
    <d v="1899-12-30T16:39:16.000"/>
    <d v="2019-03-25T00:00:00.000"/>
    <s v="EQ"/>
    <m/>
    <s v="BYWVDP4"/>
    <s v="GB00BYWVDP49"/>
    <s v="SABRE INSURANCE GROUP PLC"/>
    <s v="N"/>
    <s v="N"/>
    <s v="N/A"/>
    <m/>
    <m/>
    <m/>
    <s v="BUY"/>
    <n v="3000"/>
    <n v="3000"/>
    <s v="2.9"/>
    <s v="8700"/>
    <s v="8760.99"/>
    <s v="17.4"/>
    <s v="0"/>
    <s v="43.59"/>
    <s v="GBP"/>
    <s v="GBP"/>
    <n v="8760.99"/>
  </r>
  <r>
    <x v="2"/>
    <d v="2019-03-22T00:00:00.000"/>
    <s v="3000292"/>
    <s v="000069"/>
    <s v="Confirmed"/>
    <s v="N"/>
    <x v="13"/>
    <d v="2019-03-21T00:00:00.000"/>
    <d v="1899-12-30T11:14:00.000"/>
    <d v="2019-03-25T00:00:00.000"/>
    <s v="EQ"/>
    <m/>
    <s v="B3DG931"/>
    <s v="JE00B3DG9318"/>
    <s v="TARSUS GROUP PLC"/>
    <s v="N"/>
    <s v="N"/>
    <s v="N/A"/>
    <m/>
    <m/>
    <m/>
    <s v="SELL"/>
    <n v="2000"/>
    <n v="2000"/>
    <s v="3.015"/>
    <s v="6030"/>
    <s v="6017.94"/>
    <s v="12.06"/>
    <s v="0"/>
    <s v="0"/>
    <s v="GBP"/>
    <s v="GBP"/>
    <n v="6017.94"/>
  </r>
  <r>
    <x v="2"/>
    <d v="2019-03-22T00:00:00.000"/>
    <s v="3000292"/>
    <s v="000070"/>
    <s v="Confirmed"/>
    <s v="N"/>
    <x v="12"/>
    <d v="2019-03-21T00:00:00.000"/>
    <d v="1899-12-30T12:32:06.000"/>
    <d v="2019-03-25T00:00:00.000"/>
    <s v="EQ"/>
    <m/>
    <s v="BFYF629"/>
    <s v="GB00BFYF6298"/>
    <s v="KNIGHTS GROUP HOLDINGS PLC"/>
    <s v="N"/>
    <s v="N"/>
    <s v="N/A"/>
    <m/>
    <m/>
    <m/>
    <s v="BUY"/>
    <n v="2700"/>
    <n v="2700"/>
    <s v="3.075"/>
    <s v="8302.5"/>
    <s v="8319.105"/>
    <s v="16.605"/>
    <s v="0"/>
    <s v="0"/>
    <s v="GBP"/>
    <s v="GBP"/>
    <n v="8319.105"/>
  </r>
  <r>
    <x v="2"/>
    <d v="2019-03-22T00:00:00.000"/>
    <s v="3000292"/>
    <s v="000071"/>
    <s v="Confirmed"/>
    <s v="N"/>
    <x v="1"/>
    <d v="2019-03-21T00:00:00.000"/>
    <d v="1899-12-30T15:02:55.000"/>
    <d v="2019-03-25T00:00:00.000"/>
    <s v="EQ"/>
    <m/>
    <s v="B5NR1S7"/>
    <s v="GB00B5NR1S72"/>
    <s v="RESTORE PLC"/>
    <s v="N"/>
    <s v="N"/>
    <s v="N/A"/>
    <m/>
    <m/>
    <m/>
    <s v="BUY"/>
    <n v="3000"/>
    <n v="3000"/>
    <s v="3"/>
    <s v="9000"/>
    <s v="9018"/>
    <s v="18"/>
    <s v="0"/>
    <s v="0"/>
    <s v="GBP"/>
    <s v="GBP"/>
    <n v="9018"/>
  </r>
  <r>
    <x v="2"/>
    <d v="2019-03-22T00:00:00.000"/>
    <s v="3000292"/>
    <s v="000072"/>
    <s v="Confirmed"/>
    <s v="N"/>
    <x v="13"/>
    <d v="2019-03-22T00:00:00.000"/>
    <d v="1899-12-30T09:57:00.000"/>
    <d v="2019-03-26T00:00:00.000"/>
    <s v="EQ"/>
    <m/>
    <s v="B64NSP7"/>
    <s v="GB00B64NSP76"/>
    <s v="COSTAIN GROUP PLC"/>
    <s v="N"/>
    <s v="N"/>
    <s v="N/A"/>
    <m/>
    <m/>
    <m/>
    <s v="BUY"/>
    <n v="680"/>
    <n v="680"/>
    <s v="3.49"/>
    <s v="2373.2"/>
    <s v="2389.8364"/>
    <s v="4.7464"/>
    <s v="0"/>
    <s v="11.89"/>
    <s v="GBP"/>
    <s v="GBP"/>
    <n v="2389.8364"/>
  </r>
  <r>
    <x v="1"/>
    <d v="2019-03-25T00:00:00.000"/>
    <s v="3000290"/>
    <s v="000494"/>
    <s v="Confirmed"/>
    <s v="N"/>
    <x v="9"/>
    <d v="2019-03-22T00:00:00.000"/>
    <d v="1899-12-30T13:16:13.000"/>
    <d v="2019-03-26T00:00:00.000"/>
    <s v="EQ"/>
    <m/>
    <s v="0536301"/>
    <s v="GB0005363014"/>
    <s v="LOW &amp; BONAR PLC"/>
    <s v="N"/>
    <s v="N"/>
    <s v="N/A"/>
    <m/>
    <m/>
    <m/>
    <s v="SELL"/>
    <n v="185000"/>
    <n v="185000"/>
    <s v="0.178671"/>
    <s v="33054.135"/>
    <s v="32987.02673"/>
    <s v="66.10827"/>
    <s v="0"/>
    <s v="1"/>
    <s v="GBP"/>
    <s v="GBP"/>
    <n v="32987.02673"/>
  </r>
  <r>
    <x v="0"/>
    <d v="2019-03-25T00:00:00.000"/>
    <s v="3000291"/>
    <s v="000419"/>
    <s v="Confirmed"/>
    <s v="N"/>
    <x v="9"/>
    <d v="2019-03-22T00:00:00.000"/>
    <d v="1899-12-30T13:16:13.000"/>
    <d v="2019-03-26T00:00:00.000"/>
    <s v="EQ"/>
    <m/>
    <s v="0536301"/>
    <s v="GB0005363014"/>
    <s v="LOW &amp; BONAR PLC"/>
    <s v="N"/>
    <s v="N"/>
    <s v="N/A"/>
    <m/>
    <m/>
    <m/>
    <s v="SELL"/>
    <n v="37000"/>
    <n v="37000"/>
    <s v="0.178671"/>
    <s v="6610.827"/>
    <s v="6597.605346"/>
    <s v="13.221654"/>
    <s v="0"/>
    <s v="0"/>
    <s v="GBP"/>
    <s v="GBP"/>
    <n v="6597.605346"/>
  </r>
  <r>
    <x v="0"/>
    <d v="2019-03-25T00:00:00.000"/>
    <s v="3000291"/>
    <s v="000420"/>
    <s v="Confirmed"/>
    <s v="N"/>
    <x v="3"/>
    <d v="2019-03-22T00:00:00.000"/>
    <d v="1899-12-30T16:29:56.000"/>
    <d v="2019-03-26T00:00:00.000"/>
    <s v="EQ"/>
    <m/>
    <s v="BYWVDP4"/>
    <s v="GB00BYWVDP49"/>
    <s v="SABRE INSURANCE GROUP PLC"/>
    <s v="N"/>
    <s v="N"/>
    <s v="N/A"/>
    <m/>
    <m/>
    <m/>
    <s v="BUY"/>
    <n v="5439"/>
    <n v="5439"/>
    <s v="2.9"/>
    <s v="15773.1"/>
    <s v="15884.6662"/>
    <s v="31.5462"/>
    <s v="0"/>
    <s v="80.02"/>
    <s v="GBP"/>
    <s v="GBP"/>
    <n v="15884.6662"/>
  </r>
  <r>
    <x v="0"/>
    <d v="2019-03-25T00:00:00.000"/>
    <s v="3000291"/>
    <s v="000421"/>
    <s v="Confirmed"/>
    <s v="N"/>
    <x v="9"/>
    <d v="2019-03-22T00:00:00.000"/>
    <d v="1899-12-30T16:38:55.000"/>
    <d v="2019-03-26T00:00:00.000"/>
    <s v="EQ"/>
    <m/>
    <s v="BYWVDP4"/>
    <s v="GB00BYWVDP49"/>
    <s v="SABRE INSURANCE GROUP PLC"/>
    <s v="N"/>
    <s v="N"/>
    <s v="N/A"/>
    <m/>
    <m/>
    <m/>
    <s v="BUY"/>
    <n v="44747"/>
    <n v="44747"/>
    <s v="2.899724"/>
    <s v="129753.9498"/>
    <s v="130664.5277"/>
    <s v="259.5078997"/>
    <s v="0"/>
    <s v="651.07"/>
    <s v="GBP"/>
    <s v="GBP"/>
    <n v="130664.5277"/>
  </r>
  <r>
    <x v="1"/>
    <d v="2019-03-26T00:00:00.000"/>
    <s v="3000290"/>
    <s v="000495"/>
    <s v="Confirmed"/>
    <s v="N"/>
    <x v="14"/>
    <d v="2019-03-25T00:00:00.000"/>
    <d v="1899-12-30T11:24:00.000"/>
    <d v="2019-03-27T00:00:00.000"/>
    <s v="EQ"/>
    <m/>
    <s v="BFZZM64"/>
    <s v="GB00BFZZM640"/>
    <s v="S4 CAPITAL PLC"/>
    <s v="N"/>
    <s v="N"/>
    <s v="N/A"/>
    <m/>
    <m/>
    <m/>
    <s v="SELL"/>
    <n v="830000"/>
    <n v="830000"/>
    <s v="1.28"/>
    <s v="1062400"/>
    <s v="1060274.2"/>
    <s v="2124.8"/>
    <s v="0"/>
    <s v="1"/>
    <s v="GBP"/>
    <s v="GBP"/>
    <n v="1060274.2"/>
  </r>
  <r>
    <x v="1"/>
    <d v="2019-03-26T00:00:00.000"/>
    <s v="3000290"/>
    <s v="000496"/>
    <s v="Confirmed"/>
    <s v="N"/>
    <x v="3"/>
    <d v="2019-03-25T00:00:00.000"/>
    <d v="1899-12-30T14:35:18.000"/>
    <d v="2019-03-27T00:00:00.000"/>
    <s v="EQ"/>
    <m/>
    <s v="0188371"/>
    <s v="GB0001883718"/>
    <s v="CHARLES TAYLOR PLC"/>
    <s v="N"/>
    <s v="N"/>
    <s v="N/A"/>
    <m/>
    <m/>
    <m/>
    <s v="BUY"/>
    <n v="296000"/>
    <n v="296000"/>
    <s v="1.9275"/>
    <s v="570540"/>
    <s v="574540.49"/>
    <s v="1141.08"/>
    <s v="0"/>
    <s v="2859.41"/>
    <s v="GBP"/>
    <s v="GBP"/>
    <n v="574540.49"/>
  </r>
  <r>
    <x v="0"/>
    <d v="2019-03-26T00:00:00.000"/>
    <s v="3000291"/>
    <s v="000422"/>
    <s v="Confirmed"/>
    <s v="N"/>
    <x v="3"/>
    <d v="2019-03-25T00:00:00.000"/>
    <d v="1899-12-30T14:35:18.000"/>
    <d v="2019-03-27T00:00:00.000"/>
    <s v="EQ"/>
    <m/>
    <s v="0188371"/>
    <s v="GB0001883718"/>
    <s v="CHARLES TAYLOR PLC"/>
    <s v="N"/>
    <s v="N"/>
    <s v="N/A"/>
    <m/>
    <m/>
    <m/>
    <s v="BUY"/>
    <n v="65000"/>
    <n v="65000"/>
    <s v="1.9275"/>
    <s v="125287.5"/>
    <s v="126166.765"/>
    <s v="250.575"/>
    <s v="0"/>
    <s v="628.69"/>
    <s v="GBP"/>
    <s v="GBP"/>
    <n v="126166.765"/>
  </r>
  <r>
    <x v="0"/>
    <d v="2019-03-26T00:00:00.000"/>
    <s v="3000291"/>
    <s v="000423"/>
    <s v="Confirmed"/>
    <s v="N"/>
    <x v="3"/>
    <d v="2019-03-25T00:00:00.000"/>
    <d v="1899-12-30T16:35:02.000"/>
    <d v="2019-03-27T00:00:00.000"/>
    <s v="EQ"/>
    <m/>
    <s v="BYWVDP4"/>
    <s v="GB00BYWVDP49"/>
    <s v="SABRE INSURANCE GROUP PLC"/>
    <s v="N"/>
    <s v="N"/>
    <s v="N/A"/>
    <m/>
    <m/>
    <m/>
    <s v="BUY"/>
    <n v="14616"/>
    <n v="14616"/>
    <s v="2.88"/>
    <s v="42094.08"/>
    <s v="42390.15816"/>
    <s v="84.18816"/>
    <s v="0"/>
    <s v="211.89"/>
    <s v="GBP"/>
    <s v="GBP"/>
    <n v="42390.15816"/>
  </r>
  <r>
    <x v="0"/>
    <d v="2019-03-27T00:00:00.000"/>
    <s v="3000291"/>
    <s v="000424"/>
    <s v="Confirmed"/>
    <s v="N"/>
    <x v="3"/>
    <d v="2019-03-26T00:00:00.000"/>
    <d v="1899-12-30T12:02:21.000"/>
    <d v="2019-03-28T00:00:00.000"/>
    <s v="EQ"/>
    <m/>
    <s v="BYWVDP4"/>
    <s v="GB00BYWVDP49"/>
    <s v="SABRE INSURANCE GROUP PLC"/>
    <s v="N"/>
    <s v="N"/>
    <s v="N/A"/>
    <m/>
    <m/>
    <m/>
    <s v="BUY"/>
    <n v="149"/>
    <n v="149"/>
    <s v="2.86"/>
    <s v="426.14"/>
    <s v="429.12228"/>
    <s v="0.85228"/>
    <s v="0"/>
    <s v="2.13"/>
    <s v="GBP"/>
    <s v="GBP"/>
    <n v="429.12228"/>
  </r>
  <r>
    <x v="0"/>
    <d v="2019-03-28T00:00:00.000"/>
    <s v="3000291"/>
    <s v="000425"/>
    <s v="Confirmed"/>
    <s v="N"/>
    <x v="3"/>
    <d v="2019-03-27T00:00:00.000"/>
    <d v="1899-12-30T16:15:33.000"/>
    <d v="2019-03-29T00:00:00.000"/>
    <s v="EQ"/>
    <m/>
    <s v="BYWVDP4"/>
    <s v="GB00BYWVDP49"/>
    <s v="SABRE INSURANCE GROUP PLC"/>
    <s v="N"/>
    <s v="N"/>
    <s v="N/A"/>
    <m/>
    <m/>
    <m/>
    <s v="BUY"/>
    <n v="18404"/>
    <n v="18404"/>
    <s v="2.904388"/>
    <s v="53452.35675"/>
    <s v="53828.06147"/>
    <s v="106.9047135"/>
    <s v="0"/>
    <s v="268.8"/>
    <s v="GBP"/>
    <s v="GBP"/>
    <n v="53828.06147"/>
  </r>
  <r>
    <x v="0"/>
    <d v="2019-03-28T00:00:00.000"/>
    <s v="3000291"/>
    <s v="000426"/>
    <s v="Confirmed"/>
    <s v="N"/>
    <x v="3"/>
    <d v="2019-03-28T00:00:00.000"/>
    <d v="1899-12-30T08:24:04.000"/>
    <d v="2019-04-01T00:00:00.000"/>
    <s v="EQ"/>
    <m/>
    <s v="BYWVDP4"/>
    <s v="GB00BYWVDP49"/>
    <s v="SABRE INSURANCE GROUP PLC"/>
    <s v="N"/>
    <s v="N"/>
    <s v="N/A"/>
    <m/>
    <m/>
    <m/>
    <s v="BUY"/>
    <n v="98392"/>
    <n v="98392"/>
    <s v="2.89"/>
    <s v="284352.88"/>
    <s v="286347.1958"/>
    <s v="568.70576"/>
    <s v="0"/>
    <s v="1425.61"/>
    <s v="GBP"/>
    <s v="GBP"/>
    <n v="286347.1958"/>
  </r>
  <r>
    <x v="0"/>
    <d v="2019-03-28T00:00:00.000"/>
    <s v="3000291"/>
    <s v="000427"/>
    <s v="Confirmed"/>
    <s v="N"/>
    <x v="9"/>
    <d v="2019-03-28T00:00:00.000"/>
    <d v="1899-12-30T10:18:34.000"/>
    <d v="2019-04-01T00:00:00.000"/>
    <s v="EQ"/>
    <m/>
    <s v="BYWVDP4"/>
    <s v="GB00BYWVDP49"/>
    <s v="SABRE INSURANCE GROUP PLC"/>
    <s v="N"/>
    <s v="N"/>
    <s v="N/A"/>
    <m/>
    <m/>
    <m/>
    <s v="BUY"/>
    <n v="13443"/>
    <n v="13443"/>
    <s v="2.9"/>
    <s v="38984.7"/>
    <s v="39258.9794"/>
    <s v="77.9694"/>
    <s v="0"/>
    <s v="196.31"/>
    <s v="GBP"/>
    <s v="GBP"/>
    <n v="39258.9794"/>
  </r>
  <r>
    <x v="1"/>
    <d v="2019-03-29T00:00:00.000"/>
    <s v="3000290"/>
    <s v="000499"/>
    <s v="Confirmed"/>
    <s v="N"/>
    <x v="3"/>
    <d v="2019-03-28T00:00:00.000"/>
    <d v="1899-12-30T16:44:47.000"/>
    <d v="2019-04-01T00:00:00.000"/>
    <s v="EQ"/>
    <m/>
    <s v="BZ77SW6"/>
    <s v="GB00BZ77SW60"/>
    <s v="NEXUS INFRASTRUCTURE PLC"/>
    <s v="N"/>
    <s v="N"/>
    <s v="N/A"/>
    <m/>
    <m/>
    <m/>
    <s v="BUY"/>
    <n v="260000"/>
    <n v="260000"/>
    <s v="1.9"/>
    <s v="494000"/>
    <s v="494989"/>
    <s v="988"/>
    <s v="0"/>
    <s v="1"/>
    <s v="GBP"/>
    <s v="GBP"/>
    <n v="494989"/>
  </r>
  <r>
    <x v="0"/>
    <d v="2019-03-29T00:00:00.000"/>
    <s v="3000291"/>
    <s v="000428"/>
    <s v="Confirmed"/>
    <s v="N"/>
    <x v="3"/>
    <d v="2019-03-28T00:00:00.000"/>
    <d v="1899-12-30T16:44:47.000"/>
    <d v="2019-04-01T00:00:00.000"/>
    <s v="EQ"/>
    <m/>
    <s v="BZ77SW6"/>
    <s v="GB00BZ77SW60"/>
    <s v="NEXUS INFRASTRUCTURE PLC"/>
    <s v="N"/>
    <s v="N"/>
    <s v="N/A"/>
    <m/>
    <m/>
    <m/>
    <s v="BUY"/>
    <n v="40000"/>
    <n v="40000"/>
    <s v="1.9"/>
    <s v="76000"/>
    <s v="76153"/>
    <s v="152"/>
    <s v="0"/>
    <s v="1"/>
    <s v="GBP"/>
    <s v="GBP"/>
    <n v="76153"/>
  </r>
  <r>
    <x v="1"/>
    <d v="2019-04-01T00:00:00.000"/>
    <s v="3000290"/>
    <s v="000500"/>
    <s v="Confirmed"/>
    <s v="N"/>
    <x v="9"/>
    <d v="2019-03-29T00:00:00.000"/>
    <d v="1899-12-30T16:35:53.000"/>
    <d v="2019-04-02T00:00:00.000"/>
    <s v="EQ"/>
    <m/>
    <s v="0536301"/>
    <s v="GB0005363014"/>
    <s v="LOW &amp; BONAR PLC"/>
    <s v="N"/>
    <s v="N"/>
    <s v="N/A"/>
    <m/>
    <m/>
    <m/>
    <s v="SELL"/>
    <n v="54490"/>
    <n v="54490"/>
    <s v="0.1711"/>
    <s v="9323.239"/>
    <s v="9304.592522"/>
    <s v="18.646478"/>
    <s v="0"/>
    <s v="0"/>
    <s v="GBP"/>
    <s v="GBP"/>
    <n v="9304.592522"/>
  </r>
  <r>
    <x v="0"/>
    <d v="2019-04-01T00:00:00.000"/>
    <s v="3000291"/>
    <s v="000429"/>
    <s v="Confirmed"/>
    <s v="N"/>
    <x v="9"/>
    <d v="2019-03-29T00:00:00.000"/>
    <d v="1899-12-30T16:35:53.000"/>
    <d v="2019-04-02T00:00:00.000"/>
    <s v="EQ"/>
    <m/>
    <s v="0536301"/>
    <s v="GB0005363014"/>
    <s v="LOW &amp; BONAR PLC"/>
    <s v="N"/>
    <s v="N"/>
    <s v="N/A"/>
    <m/>
    <m/>
    <m/>
    <s v="SELL"/>
    <n v="10898"/>
    <n v="10898"/>
    <s v="0.1711"/>
    <s v="1864.6478"/>
    <s v="1860.918504"/>
    <s v="3.7292956"/>
    <s v="0"/>
    <s v="0"/>
    <s v="GBP"/>
    <s v="GBP"/>
    <n v="1860.918504"/>
  </r>
  <r>
    <x v="1"/>
    <d v="2019-04-01T00:00:00.000"/>
    <s v="3000290"/>
    <s v="000500"/>
    <s v="Confirmed"/>
    <s v="N"/>
    <x v="9"/>
    <d v="2019-03-29T00:00:00.000"/>
    <d v="1899-12-30T16:35:53.000"/>
    <d v="2019-04-02T00:00:00.000"/>
    <s v="EQ"/>
    <m/>
    <s v="0536301"/>
    <s v="GB0005363014"/>
    <s v="LOW &amp; BONAR PLC"/>
    <s v="N"/>
    <s v="N"/>
    <s v="N/A"/>
    <m/>
    <m/>
    <m/>
    <s v="SELL"/>
    <n v="54490"/>
    <n v="54490"/>
    <s v="0.1711"/>
    <s v="9323.239"/>
    <s v="9304.592522"/>
    <s v="18.646478"/>
    <s v="0"/>
    <s v="0"/>
    <s v="GBP"/>
    <s v="GBP"/>
    <n v="9304.592522"/>
  </r>
  <r>
    <x v="0"/>
    <d v="2019-04-01T00:00:00.000"/>
    <s v="3000291"/>
    <s v="000429"/>
    <s v="Confirmed"/>
    <s v="N"/>
    <x v="9"/>
    <d v="2019-03-29T00:00:00.000"/>
    <d v="1899-12-30T16:35:53.000"/>
    <d v="2019-04-02T00:00:00.000"/>
    <s v="EQ"/>
    <m/>
    <s v="0536301"/>
    <s v="GB0005363014"/>
    <s v="LOW &amp; BONAR PLC"/>
    <s v="N"/>
    <s v="N"/>
    <s v="N/A"/>
    <m/>
    <m/>
    <m/>
    <s v="SELL"/>
    <n v="10898"/>
    <n v="10898"/>
    <s v="0.1711"/>
    <s v="1864.6478"/>
    <s v="1860.918504"/>
    <s v="3.7292956"/>
    <s v="0"/>
    <s v="0"/>
    <s v="GBP"/>
    <s v="GBP"/>
    <n v="1860.918504"/>
  </r>
  <r>
    <x v="1"/>
    <d v="2019-04-02T00:00:00.000"/>
    <s v="3000290"/>
    <s v="000501"/>
    <s v="Confirmed"/>
    <s v="N"/>
    <x v="15"/>
    <d v="2019-03-27T00:00:00.000"/>
    <d v="1899-12-30T09:12:22.000"/>
    <d v="2019-04-02T00:00:00.000"/>
    <s v="EQ"/>
    <m/>
    <s v="BYVX2X2"/>
    <s v="GB00BYVX2X20"/>
    <s v="TEAM17 GROUP PLC"/>
    <s v="N"/>
    <s v="Y"/>
    <s v="N"/>
    <m/>
    <m/>
    <m/>
    <s v="BUY"/>
    <n v="220000"/>
    <n v="220000"/>
    <s v="2.25"/>
    <s v="495000"/>
    <s v="495595"/>
    <s v="594"/>
    <s v="0"/>
    <s v="1"/>
    <s v="GBP"/>
    <s v="GBP"/>
    <n v="495595"/>
  </r>
  <r>
    <x v="2"/>
    <d v="2019-04-02T00:00:00.000"/>
    <s v="3000292"/>
    <s v="000073"/>
    <s v="Confirmed"/>
    <s v="N"/>
    <x v="3"/>
    <d v="2019-04-01T00:00:00.000"/>
    <d v="1899-12-30T11:10:27.000"/>
    <d v="2019-04-03T00:00:00.000"/>
    <s v="EQ"/>
    <m/>
    <s v="BZBX0P7"/>
    <s v="GB00BZBX0P70"/>
    <s v="THE GYM GROUP PLC"/>
    <s v="N"/>
    <s v="N"/>
    <s v="N/A"/>
    <m/>
    <m/>
    <m/>
    <s v="BUY"/>
    <n v="12000"/>
    <n v="12000"/>
    <s v="2.16"/>
    <s v="25920"/>
    <s v="26102.7"/>
    <s v="51.84"/>
    <s v="0"/>
    <s v="130.86"/>
    <s v="GBP"/>
    <s v="GBP"/>
    <n v="26102.7"/>
  </r>
  <r>
    <x v="1"/>
    <d v="2019-04-04T00:00:00.000"/>
    <s v="3000290"/>
    <s v="000502"/>
    <s v="Confirmed"/>
    <s v="N"/>
    <x v="9"/>
    <d v="2019-04-03T00:00:00.000"/>
    <d v="1899-12-30T16:50:10.000"/>
    <d v="2019-04-05T00:00:00.000"/>
    <s v="EQ"/>
    <m/>
    <s v="0536301"/>
    <s v="GB0005363014"/>
    <s v="LOW &amp; BONAR PLC"/>
    <s v="N"/>
    <s v="N"/>
    <s v="N/A"/>
    <m/>
    <m/>
    <m/>
    <s v="SELL"/>
    <n v="2771108"/>
    <n v="2771108"/>
    <s v="0.134014"/>
    <s v="371367.2675"/>
    <s v="370623.543"/>
    <s v="742.734535"/>
    <s v="0"/>
    <s v="1"/>
    <s v="GBP"/>
    <s v="GBP"/>
    <n v="370623.543"/>
  </r>
  <r>
    <x v="0"/>
    <d v="2019-04-04T00:00:00.000"/>
    <s v="3000291"/>
    <s v="000430"/>
    <s v="Confirmed"/>
    <s v="N"/>
    <x v="9"/>
    <d v="2019-04-03T00:00:00.000"/>
    <d v="1899-12-30T16:50:10.000"/>
    <d v="2019-04-05T00:00:00.000"/>
    <s v="EQ"/>
    <m/>
    <s v="0536301"/>
    <s v="GB0005363014"/>
    <s v="LOW &amp; BONAR PLC"/>
    <s v="N"/>
    <s v="N"/>
    <s v="N/A"/>
    <m/>
    <m/>
    <m/>
    <s v="SELL"/>
    <n v="554223"/>
    <n v="554223"/>
    <s v="0.134014"/>
    <s v="74273.64112"/>
    <s v="74124.09384"/>
    <s v="148.5472822"/>
    <s v="0"/>
    <s v="1"/>
    <s v="GBP"/>
    <s v="GBP"/>
    <n v="74124.09384"/>
  </r>
  <r>
    <x v="1"/>
    <d v="2019-04-10T00:00:00.000"/>
    <s v="3000290"/>
    <s v="000503"/>
    <s v="Confirmed"/>
    <s v="N"/>
    <x v="4"/>
    <d v="2019-03-25T00:00:00.000"/>
    <d v="1899-12-30T12:18:00.000"/>
    <d v="2019-04-10T00:00:00.000"/>
    <s v="EQ"/>
    <m/>
    <s v="BFWYSS8"/>
    <s v="GB00BFWYSS80"/>
    <s v="BONHILL GROUP PLC"/>
    <s v="N"/>
    <s v="Y"/>
    <s v="N"/>
    <m/>
    <m/>
    <m/>
    <s v="BUY"/>
    <n v="1190476"/>
    <n v="1190476"/>
    <s v="0.84"/>
    <s v="999999.84"/>
    <s v="999999.84"/>
    <s v="0"/>
    <s v="0"/>
    <s v="0"/>
    <s v="GBP"/>
    <s v="GBP"/>
    <n v="999999.84"/>
  </r>
  <r>
    <x v="0"/>
    <d v="2019-04-12T00:00:00.000"/>
    <s v="3000291"/>
    <s v="000431"/>
    <s v="Confirmed"/>
    <s v="N"/>
    <x v="9"/>
    <d v="2019-04-11T00:00:00.000"/>
    <d v="1899-12-30T15:00:56.000"/>
    <d v="2019-04-15T00:00:00.000"/>
    <s v="EQ"/>
    <m/>
    <s v="BD6RF22"/>
    <s v="GB00BD6RF223"/>
    <s v="WATKIN JONES PLC"/>
    <s v="N"/>
    <s v="N"/>
    <s v="N/A"/>
    <m/>
    <m/>
    <m/>
    <s v="BUY"/>
    <n v="66878"/>
    <n v="66878"/>
    <s v="2.2"/>
    <s v="147131.6"/>
    <s v="147426.8632"/>
    <s v="294.2632"/>
    <s v="0"/>
    <s v="1"/>
    <s v="GBP"/>
    <s v="GBP"/>
    <n v="147426.8632"/>
  </r>
  <r>
    <x v="1"/>
    <d v="2019-04-15T00:00:00.000"/>
    <s v="3000290"/>
    <s v="000504"/>
    <s v="Confirmed"/>
    <s v="N"/>
    <x v="9"/>
    <d v="2019-04-12T00:00:00.000"/>
    <d v="1899-12-30T16:37:12.000"/>
    <d v="2019-04-16T00:00:00.000"/>
    <s v="EQ"/>
    <m/>
    <s v="BD6RF22"/>
    <s v="GB00BD6RF223"/>
    <s v="WATKIN JONES PLC"/>
    <s v="N"/>
    <s v="N"/>
    <s v="N/A"/>
    <m/>
    <m/>
    <m/>
    <s v="SELL"/>
    <n v="159500"/>
    <n v="159500"/>
    <s v="2.2"/>
    <s v="350900"/>
    <s v="350197.2"/>
    <s v="701.8"/>
    <s v="0"/>
    <s v="1"/>
    <s v="GBP"/>
    <s v="GBP"/>
    <n v="350197.2"/>
  </r>
  <r>
    <x v="1"/>
    <d v="2019-04-17T00:00:00.000"/>
    <s v="3000290"/>
    <s v="000505"/>
    <s v="Confirmed"/>
    <s v="N"/>
    <x v="2"/>
    <d v="2019-04-16T00:00:00.000"/>
    <d v="1899-12-30T15:45:00.000"/>
    <d v="2019-04-18T00:00:00.000"/>
    <s v="EQ"/>
    <m/>
    <s v="3031278"/>
    <s v="GB0030312788"/>
    <s v="OXFORD METRICS PLC"/>
    <s v="N"/>
    <s v="N"/>
    <s v="N/A"/>
    <m/>
    <m/>
    <m/>
    <s v="SELL"/>
    <n v="17500"/>
    <n v="17500"/>
    <s v="0.9812"/>
    <s v="17171"/>
    <s v="17135.658"/>
    <s v="34.342"/>
    <s v="0"/>
    <s v="1"/>
    <s v="GBP"/>
    <s v="GBP"/>
    <n v="17135.658"/>
  </r>
  <r>
    <x v="1"/>
    <d v="2019-04-17T00:00:00.000"/>
    <s v="3000290"/>
    <s v="000506"/>
    <s v="Confirmed"/>
    <s v="N"/>
    <x v="9"/>
    <d v="2019-04-16T00:00:00.000"/>
    <d v="1899-12-30T16:39:17.000"/>
    <d v="2019-04-18T00:00:00.000"/>
    <s v="EQ"/>
    <m/>
    <s v="BD6RF22"/>
    <s v="GB00BD6RF223"/>
    <s v="WATKIN JONES PLC"/>
    <s v="N"/>
    <s v="N"/>
    <s v="N/A"/>
    <m/>
    <m/>
    <m/>
    <s v="SELL"/>
    <n v="753934"/>
    <n v="753934"/>
    <s v="2.215358"/>
    <s v="1670233.718"/>
    <s v="1666892.251"/>
    <s v="3340.467437"/>
    <s v="0"/>
    <s v="1"/>
    <s v="GBP"/>
    <s v="GBP"/>
    <n v="1666892.251"/>
  </r>
  <r>
    <x v="1"/>
    <d v="2019-04-18T00:00:00.000"/>
    <s v="3000290"/>
    <s v="000507"/>
    <s v="Confirmed"/>
    <s v="N"/>
    <x v="12"/>
    <d v="2019-04-17T00:00:00.000"/>
    <d v="1899-12-30T12:19:22.000"/>
    <d v="2019-04-23T00:00:00.000"/>
    <s v="EQ"/>
    <m/>
    <s v="BFZZM64"/>
    <s v="GB00BFZZM640"/>
    <s v="S4 CAPITAL PLC"/>
    <s v="N"/>
    <s v="N"/>
    <s v="N/A"/>
    <m/>
    <m/>
    <m/>
    <s v="SELL"/>
    <n v="100000"/>
    <n v="100000"/>
    <s v="1.41"/>
    <s v="141000"/>
    <s v="140717"/>
    <s v="282"/>
    <s v="0"/>
    <s v="1"/>
    <s v="GBP"/>
    <s v="GBP"/>
    <n v="140717"/>
  </r>
  <r>
    <x v="0"/>
    <d v="2019-04-18T00:00:00.000"/>
    <s v="3000291"/>
    <s v="000432"/>
    <s v="Confirmed"/>
    <s v="N"/>
    <x v="8"/>
    <d v="2019-04-17T00:00:00.000"/>
    <d v="1899-12-30T12:11:00.000"/>
    <d v="2019-04-23T00:00:00.000"/>
    <s v="EQ"/>
    <m/>
    <s v="B5TZC71"/>
    <s v="GB00B5TZC716"/>
    <s v="INSPIRED ENERGY PLC"/>
    <s v="N"/>
    <s v="N"/>
    <s v="N/A"/>
    <m/>
    <m/>
    <m/>
    <s v="BUY"/>
    <n v="1000000"/>
    <n v="1000000"/>
    <s v="0.155"/>
    <s v="155000"/>
    <s v="155311"/>
    <s v="310"/>
    <s v="0"/>
    <s v="1"/>
    <s v="GBP"/>
    <s v="GBP"/>
    <n v="155311"/>
  </r>
  <r>
    <x v="2"/>
    <d v="2019-04-18T00:00:00.000"/>
    <s v="3000292"/>
    <s v="000074"/>
    <s v="Confirmed"/>
    <s v="N"/>
    <x v="8"/>
    <d v="2019-04-17T00:00:00.000"/>
    <d v="1899-12-30T12:11:00.000"/>
    <d v="2019-04-23T00:00:00.000"/>
    <s v="EQ"/>
    <m/>
    <s v="B5TZC71"/>
    <s v="GB00B5TZC716"/>
    <s v="INSPIRED ENERGY PLC"/>
    <s v="N"/>
    <s v="N"/>
    <s v="N/A"/>
    <m/>
    <m/>
    <m/>
    <s v="BUY"/>
    <n v="32000"/>
    <n v="32000"/>
    <s v="0.155"/>
    <s v="4960"/>
    <s v="4969.92"/>
    <s v="9.92"/>
    <s v="0"/>
    <s v="0"/>
    <s v="GBP"/>
    <s v="GBP"/>
    <n v="4969.92"/>
  </r>
  <r>
    <x v="1"/>
    <d v="2019-04-23T00:00:00.000"/>
    <s v="3000290"/>
    <s v="000508"/>
    <s v="Confirmed"/>
    <s v="N"/>
    <x v="5"/>
    <d v="2019-04-18T00:00:00.000"/>
    <d v="1899-12-30T11:43:56.000"/>
    <d v="2019-04-24T00:00:00.000"/>
    <s v="EQ"/>
    <m/>
    <s v="B0T1S09"/>
    <s v="GB00B0T1S097"/>
    <s v="NASSTAR PLC"/>
    <s v="N"/>
    <s v="N"/>
    <s v="N/A"/>
    <m/>
    <m/>
    <m/>
    <s v="SELL"/>
    <n v="125000"/>
    <n v="125000"/>
    <s v="0.12"/>
    <s v="15000"/>
    <s v="14969"/>
    <s v="30"/>
    <s v="0"/>
    <s v="1"/>
    <s v="GBP"/>
    <s v="GBP"/>
    <n v="14969"/>
  </r>
  <r>
    <x v="1"/>
    <d v="2019-04-23T00:00:00.000"/>
    <s v="3000290"/>
    <s v="000509"/>
    <s v="Confirmed"/>
    <s v="N"/>
    <x v="2"/>
    <d v="2019-04-18T00:00:00.000"/>
    <d v="1899-12-30T12:21:00.000"/>
    <d v="2019-04-24T00:00:00.000"/>
    <s v="EQ"/>
    <m/>
    <s v="3031278"/>
    <s v="GB0030312788"/>
    <s v="OXFORD METRICS PLC"/>
    <s v="N"/>
    <s v="N"/>
    <s v="N/A"/>
    <m/>
    <m/>
    <m/>
    <s v="SELL"/>
    <n v="15000"/>
    <n v="15000"/>
    <s v="0.98"/>
    <s v="14700"/>
    <s v="14669.6"/>
    <s v="29.4"/>
    <s v="0"/>
    <s v="1"/>
    <s v="GBP"/>
    <s v="GBP"/>
    <n v="14669.6"/>
  </r>
  <r>
    <x v="1"/>
    <d v="2019-04-23T00:00:00.000"/>
    <s v="3000290"/>
    <s v="000510"/>
    <s v="Confirmed"/>
    <s v="N"/>
    <x v="9"/>
    <d v="2019-04-18T00:00:00.000"/>
    <d v="1899-12-30T16:38:56.000"/>
    <d v="2019-04-24T00:00:00.000"/>
    <s v="EQ"/>
    <m/>
    <s v="BD6RF22"/>
    <s v="GB00BD6RF223"/>
    <s v="WATKIN JONES PLC"/>
    <s v="N"/>
    <s v="N"/>
    <s v="N/A"/>
    <m/>
    <m/>
    <m/>
    <s v="SELL"/>
    <n v="72000"/>
    <n v="72000"/>
    <s v="2.222778"/>
    <s v="160040.016"/>
    <s v="159718.936"/>
    <s v="320.080032"/>
    <s v="0"/>
    <s v="1"/>
    <s v="GBP"/>
    <s v="GBP"/>
    <n v="159718.936"/>
  </r>
  <r>
    <x v="1"/>
    <d v="2019-04-24T00:00:00.000"/>
    <s v="3000290"/>
    <s v="000511"/>
    <s v="Confirmed"/>
    <s v="N"/>
    <x v="12"/>
    <d v="2019-04-24T00:00:00.000"/>
    <d v="1899-12-30T09:55:26.000"/>
    <d v="2019-04-26T00:00:00.000"/>
    <s v="EQ"/>
    <m/>
    <s v="BFZZM64"/>
    <s v="GB00BFZZM640"/>
    <s v="S4 CAPITAL PLC"/>
    <s v="N"/>
    <s v="N"/>
    <s v="N/A"/>
    <m/>
    <m/>
    <m/>
    <s v="SELL"/>
    <n v="250000"/>
    <n v="250000"/>
    <s v="1.37"/>
    <s v="342500"/>
    <s v="341814"/>
    <s v="685"/>
    <s v="0"/>
    <s v="1"/>
    <s v="GBP"/>
    <s v="GBP"/>
    <n v="341814"/>
  </r>
  <r>
    <x v="1"/>
    <d v="2019-04-25T00:00:00.000"/>
    <s v="3000290"/>
    <s v="000513"/>
    <s v="Confirmed"/>
    <s v="N"/>
    <x v="5"/>
    <d v="2019-04-24T00:00:00.000"/>
    <d v="1899-12-30T16:35:58.000"/>
    <d v="2019-04-26T00:00:00.000"/>
    <s v="EQ"/>
    <m/>
    <s v="B0T1S09"/>
    <s v="GB00B0T1S097"/>
    <s v="NASSTAR PLC"/>
    <s v="N"/>
    <s v="N"/>
    <s v="N/A"/>
    <m/>
    <m/>
    <m/>
    <s v="SELL"/>
    <n v="818818"/>
    <n v="818818"/>
    <s v="0.12"/>
    <s v="98258.16"/>
    <s v="98060.64368"/>
    <s v="196.51632"/>
    <s v="0"/>
    <s v="1"/>
    <s v="GBP"/>
    <s v="GBP"/>
    <n v="98060.64368"/>
  </r>
  <r>
    <x v="1"/>
    <d v="2019-04-26T00:00:00.000"/>
    <s v="3000290"/>
    <s v="000514"/>
    <s v="Confirmed"/>
    <s v="N"/>
    <x v="12"/>
    <d v="2019-04-25T00:00:00.000"/>
    <d v="1899-12-30T15:27:48.000"/>
    <d v="2019-04-29T00:00:00.000"/>
    <s v="EQ"/>
    <m/>
    <s v="BFZZM64"/>
    <s v="GB00BFZZM640"/>
    <s v="S4 CAPITAL PLC"/>
    <s v="N"/>
    <s v="N"/>
    <s v="N/A"/>
    <m/>
    <m/>
    <m/>
    <s v="SELL"/>
    <n v="100000"/>
    <n v="100000"/>
    <s v="1.37"/>
    <s v="137000"/>
    <s v="136725"/>
    <s v="274"/>
    <s v="0"/>
    <s v="1"/>
    <s v="GBP"/>
    <s v="GBP"/>
    <n v="136725"/>
  </r>
  <r>
    <x v="1"/>
    <d v="2019-04-29T00:00:00.000"/>
    <s v="3000290"/>
    <s v="000515"/>
    <s v="Confirmed"/>
    <s v="N"/>
    <x v="7"/>
    <d v="2019-04-24T00:00:00.000"/>
    <d v="1899-12-30T08:00:00.000"/>
    <d v="2019-04-29T00:00:00.000"/>
    <s v="EQ"/>
    <m/>
    <s v="BH4JR00"/>
    <s v="GB00BH4JR002"/>
    <s v="LOUNGERS PLC"/>
    <s v="N"/>
    <s v="Y"/>
    <s v="N"/>
    <m/>
    <m/>
    <m/>
    <s v="BUY"/>
    <n v="2188000"/>
    <n v="2188000"/>
    <s v="2"/>
    <s v="4376000"/>
    <s v="4376000"/>
    <s v="0"/>
    <s v="0"/>
    <s v="0"/>
    <s v="GBP"/>
    <s v="GBP"/>
    <n v="4376000"/>
  </r>
  <r>
    <x v="1"/>
    <d v="2019-04-29T00:00:00.000"/>
    <s v="3000290"/>
    <s v="000516"/>
    <s v="Confirmed"/>
    <s v="N"/>
    <x v="9"/>
    <d v="2019-04-26T00:00:00.000"/>
    <d v="1899-12-30T13:05:41.000"/>
    <d v="2019-04-30T00:00:00.000"/>
    <s v="EQ"/>
    <m/>
    <s v="BD6RF22"/>
    <s v="GB00BD6RF223"/>
    <s v="WATKIN JONES PLC"/>
    <s v="N"/>
    <s v="N"/>
    <s v="N/A"/>
    <m/>
    <m/>
    <m/>
    <s v="SELL"/>
    <n v="878146"/>
    <n v="878146"/>
    <s v="2.240527"/>
    <s v="1967509.823"/>
    <s v="1963573.803"/>
    <s v="3935.019646"/>
    <s v="0"/>
    <s v="1"/>
    <s v="GBP"/>
    <s v="GBP"/>
    <n v="1963573.803"/>
  </r>
  <r>
    <x v="1"/>
    <d v="2019-04-29T00:00:00.000"/>
    <s v="3000290"/>
    <s v="000517"/>
    <s v="Confirmed"/>
    <s v="N"/>
    <x v="12"/>
    <d v="2019-04-26T00:00:00.000"/>
    <d v="1899-12-30T14:21:43.000"/>
    <d v="2019-04-30T00:00:00.000"/>
    <s v="EQ"/>
    <m/>
    <s v="BFZZM64"/>
    <s v="GB00BFZZM640"/>
    <s v="S4 CAPITAL PLC"/>
    <s v="N"/>
    <s v="N"/>
    <s v="N/A"/>
    <m/>
    <m/>
    <m/>
    <s v="SELL"/>
    <n v="375000"/>
    <n v="375000"/>
    <s v="1.38"/>
    <s v="517500"/>
    <s v="516464"/>
    <s v="1035"/>
    <s v="0"/>
    <s v="1"/>
    <s v="GBP"/>
    <s v="GBP"/>
    <n v="516464"/>
  </r>
  <r>
    <x v="2"/>
    <d v="2019-04-29T00:00:00.000"/>
    <s v="3000292"/>
    <s v="000076"/>
    <s v="Confirmed"/>
    <s v="N"/>
    <x v="7"/>
    <d v="2019-04-24T00:00:00.000"/>
    <d v="1899-12-30T08:00:00.000"/>
    <d v="2019-04-29T00:00:00.000"/>
    <s v="EQ"/>
    <m/>
    <s v="BH4JR00"/>
    <s v="GB00BH4JR002"/>
    <s v="LOUNGERS PLC"/>
    <s v="N"/>
    <s v="Y"/>
    <s v="N"/>
    <m/>
    <m/>
    <m/>
    <s v="BUY"/>
    <n v="12000"/>
    <n v="12000"/>
    <s v="2"/>
    <s v="24000"/>
    <s v="24000"/>
    <s v="0"/>
    <s v="0"/>
    <s v="0"/>
    <s v="GBP"/>
    <s v="GBP"/>
    <n v="24000"/>
  </r>
  <r>
    <x v="1"/>
    <d v="2019-04-30T00:00:00.000"/>
    <s v="3000290"/>
    <s v="000518"/>
    <s v="Confirmed"/>
    <s v="N"/>
    <x v="5"/>
    <d v="2019-04-29T00:00:00.000"/>
    <d v="1899-12-30T11:05:00.000"/>
    <d v="2019-05-01T00:00:00.000"/>
    <s v="EQ"/>
    <m/>
    <s v="B0T1S09"/>
    <s v="GB00B0T1S097"/>
    <s v="NASSTAR PLC"/>
    <s v="N"/>
    <s v="N"/>
    <s v="N/A"/>
    <m/>
    <m/>
    <m/>
    <s v="SELL"/>
    <n v="112500"/>
    <n v="112500"/>
    <s v="0.125"/>
    <s v="14062.5"/>
    <s v="14033.375"/>
    <s v="28.115"/>
    <s v="0"/>
    <s v="1"/>
    <s v="GBP"/>
    <s v="GBP"/>
    <n v="14033.375"/>
  </r>
  <r>
    <x v="1"/>
    <d v="2019-04-30T00:00:00.000"/>
    <s v="3000290"/>
    <s v="000519"/>
    <s v="Confirmed"/>
    <s v="N"/>
    <x v="3"/>
    <d v="2019-04-29T00:00:00.000"/>
    <d v="1899-12-30T16:01:02.000"/>
    <d v="2019-05-01T00:00:00.000"/>
    <s v="EQ"/>
    <m/>
    <s v="BZ77SW6"/>
    <s v="GB00BZ77SW60"/>
    <s v="NEXUS INFRASTRUCTURE PLC"/>
    <s v="N"/>
    <s v="N"/>
    <s v="N/A"/>
    <m/>
    <m/>
    <m/>
    <s v="SELL"/>
    <n v="4926"/>
    <n v="4926"/>
    <s v="1.473333"/>
    <s v="7257.638358"/>
    <s v="7243.123081"/>
    <s v="14.51527672"/>
    <s v="0"/>
    <s v="0"/>
    <s v="GBP"/>
    <s v="GBP"/>
    <n v="7243.123081"/>
  </r>
  <r>
    <x v="0"/>
    <d v="2019-04-30T00:00:00.000"/>
    <s v="3000291"/>
    <s v="000433"/>
    <s v="Confirmed"/>
    <s v="N"/>
    <x v="3"/>
    <d v="2019-04-29T00:00:00.000"/>
    <d v="1899-12-30T16:01:02.000"/>
    <d v="2019-05-01T00:00:00.000"/>
    <s v="EQ"/>
    <m/>
    <s v="BZ77SW6"/>
    <s v="GB00BZ77SW60"/>
    <s v="NEXUS INFRASTRUCTURE PLC"/>
    <s v="N"/>
    <s v="N"/>
    <s v="N/A"/>
    <m/>
    <m/>
    <m/>
    <s v="SELL"/>
    <n v="1074"/>
    <n v="1074"/>
    <s v="1.473333"/>
    <s v="1582.359642"/>
    <s v="1579.204923"/>
    <s v="3.164719284"/>
    <s v="0"/>
    <s v="0"/>
    <s v="GBP"/>
    <s v="GBP"/>
    <n v="1579.204923"/>
  </r>
  <r>
    <x v="0"/>
    <d v="2019-04-30T00:00:00.000"/>
    <s v="3000291"/>
    <s v="000434"/>
    <s v="Confirmed"/>
    <s v="N"/>
    <x v="3"/>
    <d v="2019-04-30T00:00:00.000"/>
    <d v="1899-12-30T09:37:10.000"/>
    <d v="2019-05-02T00:00:00.000"/>
    <s v="EQ"/>
    <m/>
    <s v="BYWVDP4"/>
    <s v="GB00BYWVDP49"/>
    <s v="SABRE INSURANCE GROUP PLC"/>
    <s v="N"/>
    <s v="N"/>
    <s v="N/A"/>
    <m/>
    <m/>
    <m/>
    <s v="BUY"/>
    <n v="80000"/>
    <n v="80000"/>
    <s v="2.793"/>
    <s v="223440"/>
    <s v="225007.31"/>
    <s v="446.88"/>
    <s v="0"/>
    <s v="1120.43"/>
    <s v="GBP"/>
    <s v="GBP"/>
    <n v="225007.31"/>
  </r>
  <r>
    <x v="1"/>
    <d v="2019-05-01T00:00:00.000"/>
    <s v="3000290"/>
    <s v="000521"/>
    <s v="Confirmed"/>
    <s v="N"/>
    <x v="3"/>
    <d v="2019-04-30T00:00:00.000"/>
    <d v="1899-12-30T13:29:31.000"/>
    <d v="2019-05-02T00:00:00.000"/>
    <s v="EQ"/>
    <m/>
    <s v="0969231"/>
    <s v="GB0009692319"/>
    <s v="WILMINGTON PLC"/>
    <s v="N"/>
    <s v="N"/>
    <s v="N/A"/>
    <m/>
    <m/>
    <m/>
    <s v="SELL"/>
    <n v="360000"/>
    <n v="360000"/>
    <s v="2.04"/>
    <s v="734400"/>
    <s v="732930.2"/>
    <s v="1468.8"/>
    <s v="0"/>
    <s v="1"/>
    <s v="GBP"/>
    <s v="GBP"/>
    <n v="732930.2"/>
  </r>
  <r>
    <x v="0"/>
    <d v="2019-05-01T00:00:00.000"/>
    <s v="3000291"/>
    <s v="000435"/>
    <s v="Confirmed"/>
    <s v="N"/>
    <x v="3"/>
    <d v="2019-04-30T00:00:00.000"/>
    <d v="1899-12-30T11:56:45.000"/>
    <d v="2019-05-02T00:00:00.000"/>
    <s v="EQ"/>
    <m/>
    <s v="BFYF629"/>
    <s v="GB00BFYF6298"/>
    <s v="KNIGHTS GROUP HOLDINGS PLC"/>
    <s v="N"/>
    <s v="N"/>
    <s v="N/A"/>
    <m/>
    <m/>
    <m/>
    <s v="SELL"/>
    <n v="11000"/>
    <n v="11000"/>
    <s v="2.8593"/>
    <s v="31452.3"/>
    <s v="31388.3954"/>
    <s v="62.9046"/>
    <s v="0"/>
    <s v="1"/>
    <s v="GBP"/>
    <s v="GBP"/>
    <n v="31388.3954"/>
  </r>
  <r>
    <x v="2"/>
    <d v="2019-05-01T00:00:00.000"/>
    <s v="3000292"/>
    <s v="000077"/>
    <s v="Confirmed"/>
    <s v="N"/>
    <x v="1"/>
    <d v="2019-04-30T00:00:00.000"/>
    <d v="1899-12-30T11:29:02.000"/>
    <d v="2019-05-02T00:00:00.000"/>
    <s v="EQ"/>
    <m/>
    <s v="B5NR1S7"/>
    <s v="GB00B5NR1S72"/>
    <s v="RESTORE PLC"/>
    <s v="N"/>
    <s v="N"/>
    <s v="N/A"/>
    <m/>
    <m/>
    <m/>
    <s v="SELL"/>
    <n v="2900"/>
    <n v="2900"/>
    <s v="3.62"/>
    <s v="10498"/>
    <s v="10476.004"/>
    <s v="20.996"/>
    <s v="0"/>
    <s v="1"/>
    <s v="GBP"/>
    <s v="GBP"/>
    <n v="10476.004"/>
  </r>
  <r>
    <x v="2"/>
    <d v="2019-05-01T00:00:00.000"/>
    <s v="3000292"/>
    <s v="000078"/>
    <s v="Confirmed"/>
    <s v="N"/>
    <x v="3"/>
    <d v="2019-04-30T00:00:00.000"/>
    <d v="1899-12-30T11:29:29.000"/>
    <d v="2019-05-02T00:00:00.000"/>
    <s v="EQ"/>
    <m/>
    <s v="BZBX0P7"/>
    <s v="GB00BZBX0P70"/>
    <s v="THE GYM GROUP PLC"/>
    <s v="N"/>
    <s v="N"/>
    <s v="N/A"/>
    <m/>
    <m/>
    <m/>
    <s v="BUY"/>
    <n v="1700"/>
    <n v="1700"/>
    <s v="2.345"/>
    <s v="3986.5"/>
    <s v="4014.443"/>
    <s v="7.973"/>
    <s v="0"/>
    <s v="19.97"/>
    <s v="GBP"/>
    <s v="GBP"/>
    <n v="4014.443"/>
  </r>
  <r>
    <x v="1"/>
    <d v="2019-05-02T00:00:00.000"/>
    <s v="3000290"/>
    <s v="000522"/>
    <s v="Confirmed"/>
    <s v="N"/>
    <x v="1"/>
    <d v="2019-04-30T00:00:00.000"/>
    <d v="1899-12-30T08:00:00.000"/>
    <d v="2019-05-02T00:00:00.000"/>
    <s v="EQ"/>
    <m/>
    <s v="B17MN06"/>
    <s v="GB00B17MN067"/>
    <s v="TASTY PLC"/>
    <s v="N"/>
    <s v="Y"/>
    <s v="N"/>
    <m/>
    <m/>
    <m/>
    <s v="BUY"/>
    <n v="10000000"/>
    <n v="10000000"/>
    <s v="0.04"/>
    <s v="400000"/>
    <s v="400000"/>
    <s v="0"/>
    <s v="0"/>
    <s v="0"/>
    <s v="GBP"/>
    <s v="GBP"/>
    <n v="400000"/>
  </r>
  <r>
    <x v="1"/>
    <d v="2019-05-02T00:00:00.000"/>
    <s v="3000290"/>
    <s v="000523"/>
    <s v="Confirmed"/>
    <s v="N"/>
    <x v="12"/>
    <d v="2019-05-01T00:00:00.000"/>
    <d v="1899-12-30T08:52:43.000"/>
    <d v="2019-05-03T00:00:00.000"/>
    <s v="EQ"/>
    <m/>
    <s v="0969231"/>
    <s v="GB0009692319"/>
    <s v="WILMINGTON PLC"/>
    <s v="N"/>
    <s v="N"/>
    <s v="N/A"/>
    <m/>
    <m/>
    <m/>
    <s v="SELL"/>
    <n v="15000"/>
    <n v="15000"/>
    <s v="2.06"/>
    <s v="30900"/>
    <s v="30837.2"/>
    <s v="61.8"/>
    <s v="0"/>
    <s v="1"/>
    <s v="GBP"/>
    <s v="GBP"/>
    <n v="30837.2"/>
  </r>
  <r>
    <x v="1"/>
    <d v="2019-05-02T00:00:00.000"/>
    <s v="3000290"/>
    <s v="000524"/>
    <s v="Confirmed"/>
    <s v="N"/>
    <x v="3"/>
    <d v="2019-05-01T00:00:00.000"/>
    <d v="1899-12-30T15:59:47.000"/>
    <d v="2019-05-03T00:00:00.000"/>
    <s v="EQ"/>
    <m/>
    <s v="0969231"/>
    <s v="GB0009692319"/>
    <s v="WILMINGTON PLC"/>
    <s v="N"/>
    <s v="N"/>
    <s v="N/A"/>
    <m/>
    <m/>
    <m/>
    <s v="SELL"/>
    <n v="5000"/>
    <n v="5000"/>
    <s v="2.04"/>
    <s v="10200"/>
    <s v="10178.6"/>
    <s v="20.4"/>
    <s v="0"/>
    <s v="1"/>
    <s v="GBP"/>
    <s v="GBP"/>
    <n v="10178.6"/>
  </r>
  <r>
    <x v="0"/>
    <d v="2019-05-02T00:00:00.000"/>
    <s v="3000291"/>
    <s v="000436"/>
    <s v="Confirmed"/>
    <s v="N"/>
    <x v="3"/>
    <d v="2019-05-01T00:00:00.000"/>
    <d v="1899-12-30T15:28:10.000"/>
    <d v="2019-05-03T00:00:00.000"/>
    <s v="EQ"/>
    <m/>
    <s v="BFYF629"/>
    <s v="GB00BFYF6298"/>
    <s v="KNIGHTS GROUP HOLDINGS PLC"/>
    <s v="N"/>
    <s v="N"/>
    <s v="N/A"/>
    <m/>
    <m/>
    <m/>
    <s v="SELL"/>
    <n v="5000"/>
    <n v="5000"/>
    <s v="2.85"/>
    <s v="14250"/>
    <s v="14220.5"/>
    <s v="28.5"/>
    <s v="0"/>
    <s v="1"/>
    <s v="GBP"/>
    <s v="GBP"/>
    <n v="14220.5"/>
  </r>
  <r>
    <x v="2"/>
    <d v="2019-05-02T00:00:00.000"/>
    <s v="3000292"/>
    <s v="000079"/>
    <s v="Confirmed"/>
    <s v="N"/>
    <x v="6"/>
    <d v="2019-05-01T00:00:00.000"/>
    <d v="1899-12-30T15:02:00.000"/>
    <d v="2019-05-03T00:00:00.000"/>
    <s v="EQ"/>
    <m/>
    <s v="B0MT3Y9"/>
    <s v="GB00B0MT3Y97"/>
    <s v="MATTIOLI WOODS PLC"/>
    <s v="N"/>
    <s v="N"/>
    <s v="N/A"/>
    <m/>
    <m/>
    <m/>
    <s v="BUY"/>
    <n v="1000"/>
    <n v="1000"/>
    <s v="7.7"/>
    <s v="7700"/>
    <s v="7715.4"/>
    <s v="15.4"/>
    <s v="0"/>
    <s v="0"/>
    <s v="GBP"/>
    <s v="GBP"/>
    <n v="7715.4"/>
  </r>
  <r>
    <x v="1"/>
    <d v="2019-05-07T00:00:00.000"/>
    <s v="3000290"/>
    <s v="000525"/>
    <s v="Confirmed"/>
    <s v="N"/>
    <x v="16"/>
    <d v="2019-05-03T00:00:00.000"/>
    <d v="1899-12-30T15:48:06.000"/>
    <d v="2019-05-08T00:00:00.000"/>
    <s v="EQ"/>
    <m/>
    <s v="B196F55"/>
    <s v="GB00B196F554"/>
    <s v="AVATION PLC"/>
    <s v="N"/>
    <s v="N"/>
    <s v="N/A"/>
    <m/>
    <m/>
    <m/>
    <s v="SELL"/>
    <n v="200000"/>
    <n v="200000"/>
    <s v="2.92"/>
    <s v="584000"/>
    <s v="582831"/>
    <s v="1168"/>
    <s v="0"/>
    <s v="1"/>
    <s v="GBP"/>
    <s v="GBP"/>
    <n v="582831"/>
  </r>
  <r>
    <x v="0"/>
    <d v="2019-05-08T00:00:00.000"/>
    <s v="3000291"/>
    <s v="000437"/>
    <s v="Confirmed"/>
    <s v="N"/>
    <x v="3"/>
    <d v="2019-05-07T00:00:00.000"/>
    <d v="1899-12-30T15:55:35.000"/>
    <d v="2019-05-09T00:00:00.000"/>
    <s v="EQ"/>
    <m/>
    <s v="_x0009_BF0FMG9"/>
    <s v="IM00BF0FMG91"/>
    <s v="STRIX GROUP PLC"/>
    <s v="N"/>
    <s v="N"/>
    <s v="N/A"/>
    <m/>
    <m/>
    <m/>
    <s v="BUY"/>
    <n v="72000"/>
    <n v="72000"/>
    <s v="1.626"/>
    <s v="117072"/>
    <s v="117307.144"/>
    <s v="234.144"/>
    <s v="0"/>
    <s v="1"/>
    <s v="GBP"/>
    <s v="GBP"/>
    <n v="117307.144"/>
  </r>
  <r>
    <x v="0"/>
    <d v="2019-05-09T00:00:00.000"/>
    <s v="3000291"/>
    <s v="000438"/>
    <s v="Confirmed"/>
    <s v="N"/>
    <x v="3"/>
    <d v="2019-05-08T00:00:00.000"/>
    <d v="1899-12-30T16:37:22.000"/>
    <d v="2019-05-10T00:00:00.000"/>
    <s v="EQ"/>
    <m/>
    <s v="BFYF629"/>
    <s v="GB00BFYF6298"/>
    <s v="KNIGHTS GROUP HOLDINGS PLC"/>
    <s v="N"/>
    <s v="N"/>
    <s v="N/A"/>
    <m/>
    <m/>
    <m/>
    <s v="SELL"/>
    <n v="2282"/>
    <n v="2282"/>
    <s v="2.85"/>
    <s v="6503.7"/>
    <s v="6490.6926"/>
    <s v="13.0074"/>
    <s v="0"/>
    <s v="0"/>
    <s v="GBP"/>
    <s v="GBP"/>
    <n v="6490.6926"/>
  </r>
  <r>
    <x v="0"/>
    <d v="2019-05-10T00:00:00.000"/>
    <s v="3000291"/>
    <s v="000439"/>
    <s v="Confirmed"/>
    <s v="N"/>
    <x v="3"/>
    <d v="2019-05-09T00:00:00.000"/>
    <d v="1899-12-30T14:24:59.000"/>
    <d v="2019-05-13T00:00:00.000"/>
    <s v="EQ"/>
    <m/>
    <s v="BFYF629"/>
    <s v="GB00BFYF6298"/>
    <s v="KNIGHTS GROUP HOLDINGS PLC"/>
    <s v="N"/>
    <s v="N"/>
    <s v="N/A"/>
    <m/>
    <m/>
    <m/>
    <s v="SELL"/>
    <n v="5282"/>
    <n v="5282"/>
    <s v="2.85"/>
    <s v="15053.7"/>
    <s v="15022.5926"/>
    <s v="30.1074"/>
    <s v="0"/>
    <s v="1"/>
    <s v="GBP"/>
    <s v="GBP"/>
    <n v="15022.5926"/>
  </r>
  <r>
    <x v="1"/>
    <d v="2019-05-14T00:00:00.000"/>
    <s v="3000290"/>
    <s v="000526"/>
    <s v="Confirmed"/>
    <s v="N"/>
    <x v="3"/>
    <d v="2019-05-13T00:00:00.000"/>
    <d v="1899-12-30T13:55:23.000"/>
    <d v="2019-05-15T00:00:00.000"/>
    <s v="EQ"/>
    <m/>
    <s v="BZ77SW6"/>
    <s v="GB00BZ77SW60"/>
    <s v="NEXUS INFRASTRUCTURE PLC"/>
    <s v="N"/>
    <s v="N"/>
    <s v="N/A"/>
    <m/>
    <m/>
    <m/>
    <s v="SELL"/>
    <n v="98520"/>
    <n v="98520"/>
    <s v="1.27"/>
    <s v="125120.4"/>
    <s v="124869.1592"/>
    <s v="250.2408"/>
    <s v="0"/>
    <s v="1"/>
    <s v="GBP"/>
    <s v="GBP"/>
    <n v="124869.1592"/>
  </r>
  <r>
    <x v="0"/>
    <d v="2019-05-14T00:00:00.000"/>
    <s v="3000291"/>
    <s v="000440"/>
    <s v="Confirmed"/>
    <s v="N"/>
    <x v="3"/>
    <d v="2019-05-13T00:00:00.000"/>
    <d v="1899-12-30T13:55:23.000"/>
    <d v="2019-05-15T00:00:00.000"/>
    <s v="EQ"/>
    <m/>
    <s v="BZ77SW6"/>
    <s v="GB00BZ77SW60"/>
    <s v="NEXUS INFRASTRUCTURE PLC"/>
    <s v="N"/>
    <s v="N"/>
    <s v="N/A"/>
    <m/>
    <m/>
    <m/>
    <s v="SELL"/>
    <n v="21480"/>
    <n v="21480"/>
    <s v="1.27"/>
    <s v="27279.6"/>
    <s v="27224.0408"/>
    <s v="54.5592"/>
    <s v="0"/>
    <s v="1"/>
    <s v="GBP"/>
    <s v="GBP"/>
    <n v="27224.0408"/>
  </r>
  <r>
    <x v="0"/>
    <d v="2019-05-14T00:00:00.000"/>
    <s v="3000291"/>
    <s v="000441"/>
    <s v="Confirmed"/>
    <s v="N"/>
    <x v="3"/>
    <d v="2019-05-14T00:00:00.000"/>
    <d v="1899-12-30T08:22:45.000"/>
    <d v="2019-05-16T00:00:00.000"/>
    <s v="EQ"/>
    <m/>
    <s v="BH4HKS3"/>
    <s v="GB00BH4HKS39"/>
    <s v="VODAFONE GROUP PLC"/>
    <s v="N"/>
    <s v="N"/>
    <s v="N/A"/>
    <m/>
    <m/>
    <m/>
    <s v="SELL"/>
    <n v="691000"/>
    <n v="691000"/>
    <s v="1.323323"/>
    <s v="914416.193"/>
    <s v="913500.7668"/>
    <s v="914.416193"/>
    <s v="0"/>
    <s v="1"/>
    <s v="GBP"/>
    <s v="GBP"/>
    <n v="913500.7668"/>
  </r>
  <r>
    <x v="0"/>
    <d v="2019-05-15T00:00:00.000"/>
    <s v="3000291"/>
    <s v="000442"/>
    <s v="Confirmed"/>
    <s v="N"/>
    <x v="3"/>
    <d v="2019-05-14T00:00:00.000"/>
    <d v="1899-12-30T15:34:33.000"/>
    <d v="2019-05-16T00:00:00.000"/>
    <s v="EQ"/>
    <m/>
    <s v="BF020D3"/>
    <s v="GB00BF020D33"/>
    <s v="TEN ENTERTAINMENT GROUP PLC"/>
    <s v="N"/>
    <s v="N"/>
    <s v="N/A"/>
    <m/>
    <m/>
    <m/>
    <s v="BUY"/>
    <n v="110000"/>
    <n v="110000"/>
    <s v="2.265"/>
    <s v="249150"/>
    <s v="250897.54"/>
    <s v="498.3"/>
    <s v="0"/>
    <s v="1249.24"/>
    <s v="GBP"/>
    <s v="GBP"/>
    <n v="250897.54"/>
  </r>
  <r>
    <x v="0"/>
    <d v="2019-05-15T00:00:00.000"/>
    <s v="3000291"/>
    <s v="000443"/>
    <s v="Confirmed"/>
    <s v="N"/>
    <x v="9"/>
    <d v="2019-05-14T00:00:00.000"/>
    <d v="1899-12-30T15:37:14.000"/>
    <d v="2019-05-16T00:00:00.000"/>
    <s v="EQ"/>
    <m/>
    <s v="B3DG931"/>
    <s v="JE00B3DG9318"/>
    <s v="TARSUS GROUP PLC"/>
    <s v="N"/>
    <s v="N"/>
    <s v="N/A"/>
    <m/>
    <m/>
    <m/>
    <s v="BUY"/>
    <n v="41000"/>
    <n v="41000"/>
    <s v="3.12"/>
    <s v="127920"/>
    <s v="128176.84"/>
    <s v="255.84"/>
    <s v="0"/>
    <s v="1"/>
    <s v="GBP"/>
    <s v="GBP"/>
    <n v="128176.84"/>
  </r>
  <r>
    <x v="2"/>
    <d v="2019-05-15T00:00:00.000"/>
    <s v="3000292"/>
    <s v="000080"/>
    <s v="Confirmed"/>
    <s v="N"/>
    <x v="12"/>
    <d v="2019-05-14T00:00:00.000"/>
    <d v="1899-12-30T11:20:31.000"/>
    <d v="2019-05-16T00:00:00.000"/>
    <s v="EQ"/>
    <m/>
    <s v="B5TZC71"/>
    <s v="GB00B5TZC716"/>
    <s v="INSPIRED ENERGY PLC"/>
    <s v="N"/>
    <s v="N"/>
    <s v="N/A"/>
    <m/>
    <m/>
    <m/>
    <s v="BUY"/>
    <n v="45000"/>
    <n v="45000"/>
    <s v="0.155"/>
    <s v="6975"/>
    <s v="6988.95"/>
    <s v="13.95"/>
    <s v="0"/>
    <s v="0"/>
    <s v="GBP"/>
    <s v="GBP"/>
    <n v="6988.95"/>
  </r>
  <r>
    <x v="1"/>
    <d v="2019-05-16T00:00:00.000"/>
    <s v="3000290"/>
    <s v="000527"/>
    <s v="Confirmed"/>
    <s v="N"/>
    <x v="3"/>
    <d v="2019-05-16T00:00:00.000"/>
    <d v="1899-12-30T09:28:52.000"/>
    <d v="2019-05-20T00:00:00.000"/>
    <s v="EQ"/>
    <m/>
    <s v="0969231"/>
    <s v="GB0009692319"/>
    <s v="WILMINGTON PLC"/>
    <s v="N"/>
    <s v="N"/>
    <s v="N/A"/>
    <m/>
    <m/>
    <m/>
    <s v="SELL"/>
    <n v="1399427"/>
    <n v="1399427"/>
    <s v="2"/>
    <s v="2798854"/>
    <s v="2793255.292"/>
    <s v="5597.708"/>
    <s v="0"/>
    <s v="1"/>
    <s v="GBP"/>
    <s v="GBP"/>
    <n v="2793255.292"/>
  </r>
  <r>
    <x v="0"/>
    <d v="2019-05-21T00:00:00.000"/>
    <s v="3000291"/>
    <s v="000444"/>
    <s v="Confirmed"/>
    <s v="N"/>
    <x v="3"/>
    <d v="2019-05-20T00:00:00.000"/>
    <d v="1899-12-30T16:17:15.000"/>
    <d v="2019-05-22T00:00:00.000"/>
    <s v="EQ"/>
    <m/>
    <s v="BFYF629"/>
    <s v="GB00BFYF6298"/>
    <s v="KNIGHTS GROUP HOLDINGS PLC"/>
    <s v="N"/>
    <s v="N"/>
    <s v="N/A"/>
    <m/>
    <m/>
    <m/>
    <s v="SELL"/>
    <n v="7192"/>
    <n v="7192"/>
    <s v="2.85"/>
    <s v="20497.2"/>
    <s v="20455.2056"/>
    <s v="40.9944"/>
    <s v="0"/>
    <s v="1"/>
    <s v="GBP"/>
    <s v="GBP"/>
    <n v="20455.2056"/>
  </r>
  <r>
    <x v="1"/>
    <d v="2019-05-22T00:00:00.000"/>
    <s v="3000290"/>
    <s v="000528"/>
    <s v="Confirmed"/>
    <s v="N"/>
    <x v="3"/>
    <d v="2019-05-21T00:00:00.000"/>
    <d v="1899-12-30T16:09:00.000"/>
    <d v="2019-05-23T00:00:00.000"/>
    <s v="EQ"/>
    <m/>
    <s v="BZ77SW6"/>
    <s v="GB00BZ77SW60"/>
    <s v="NEXUS INFRASTRUCTURE PLC"/>
    <s v="N"/>
    <s v="N"/>
    <s v="N/A"/>
    <m/>
    <m/>
    <m/>
    <s v="SELL"/>
    <n v="246299"/>
    <n v="246299"/>
    <s v="1.3"/>
    <s v="320188.7"/>
    <s v="319547.3226"/>
    <s v="640.3774"/>
    <s v="0"/>
    <s v="1"/>
    <s v="GBP"/>
    <s v="GBP"/>
    <n v="319547.3226"/>
  </r>
  <r>
    <x v="0"/>
    <d v="2019-05-22T00:00:00.000"/>
    <s v="3000291"/>
    <s v="000445"/>
    <s v="Confirmed"/>
    <s v="N"/>
    <x v="5"/>
    <d v="2019-05-21T00:00:00.000"/>
    <d v="1899-12-30T12:50:15.000"/>
    <d v="2019-05-23T00:00:00.000"/>
    <s v="EQ"/>
    <m/>
    <s v="0006053"/>
    <s v="GB0000060532"/>
    <s v="NETCALL PLC"/>
    <s v="N"/>
    <s v="N"/>
    <s v="N/A"/>
    <m/>
    <m/>
    <m/>
    <s v="SELL"/>
    <n v="49550"/>
    <n v="49550"/>
    <s v="0.565"/>
    <s v="27995.75"/>
    <s v="27938.7585"/>
    <s v="55.9915"/>
    <s v="0"/>
    <s v="1"/>
    <s v="GBP"/>
    <s v="GBP"/>
    <n v="27938.7585"/>
  </r>
  <r>
    <x v="0"/>
    <d v="2019-05-22T00:00:00.000"/>
    <s v="3000291"/>
    <s v="000446"/>
    <s v="Confirmed"/>
    <s v="N"/>
    <x v="3"/>
    <d v="2019-05-21T00:00:00.000"/>
    <d v="1899-12-30T15:23:04.000"/>
    <d v="2019-05-23T00:00:00.000"/>
    <s v="EQ"/>
    <m/>
    <s v="BFYF629"/>
    <s v="GB00BFYF6298"/>
    <s v="KNIGHTS GROUP HOLDINGS PLC"/>
    <s v="N"/>
    <s v="N"/>
    <s v="N/A"/>
    <m/>
    <m/>
    <m/>
    <s v="SELL"/>
    <n v="3000"/>
    <n v="3000"/>
    <s v="2.96"/>
    <s v="8880"/>
    <s v="8862.24"/>
    <s v="17.76"/>
    <s v="0"/>
    <s v="0"/>
    <s v="GBP"/>
    <s v="GBP"/>
    <n v="8862.24"/>
  </r>
  <r>
    <x v="0"/>
    <d v="2019-05-22T00:00:00.000"/>
    <s v="3000291"/>
    <s v="000447"/>
    <s v="Confirmed"/>
    <s v="N"/>
    <x v="3"/>
    <d v="2019-05-21T00:00:00.000"/>
    <d v="1899-12-30T16:09:00.000"/>
    <d v="2019-05-23T00:00:00.000"/>
    <s v="EQ"/>
    <m/>
    <s v="BZ77SW6"/>
    <s v="GB00BZ77SW60"/>
    <s v="NEXUS INFRASTRUCTURE PLC"/>
    <s v="N"/>
    <s v="N"/>
    <s v="N/A"/>
    <m/>
    <m/>
    <m/>
    <s v="SELL"/>
    <n v="53701"/>
    <n v="53701"/>
    <s v="1.3"/>
    <s v="69811.3"/>
    <s v="69670.6774"/>
    <s v="139.6226"/>
    <s v="0"/>
    <s v="1"/>
    <s v="GBP"/>
    <s v="GBP"/>
    <n v="69670.6774"/>
  </r>
  <r>
    <x v="1"/>
    <d v="2019-05-23T00:00:00.000"/>
    <s v="3000290"/>
    <s v="000529"/>
    <s v="Confirmed"/>
    <s v="N"/>
    <x v="3"/>
    <d v="2019-05-22T00:00:00.000"/>
    <d v="1899-12-30T12:09:12.000"/>
    <d v="2019-05-24T00:00:00.000"/>
    <s v="EQ"/>
    <m/>
    <s v="BZ77SW6"/>
    <s v="GB00BZ77SW60"/>
    <s v="NEXUS INFRASTRUCTURE PLC"/>
    <s v="N"/>
    <s v="N"/>
    <s v="N/A"/>
    <m/>
    <m/>
    <m/>
    <s v="SELL"/>
    <n v="41050"/>
    <n v="41050"/>
    <s v="1.3"/>
    <s v="53365"/>
    <s v="53257.27"/>
    <s v="106.73"/>
    <s v="0"/>
    <s v="1"/>
    <s v="GBP"/>
    <s v="GBP"/>
    <n v="53257.27"/>
  </r>
  <r>
    <x v="1"/>
    <d v="2019-05-23T00:00:00.000"/>
    <s v="3000290"/>
    <s v="000530"/>
    <s v="Confirmed"/>
    <s v="N"/>
    <x v="6"/>
    <d v="2019-05-22T00:00:00.000"/>
    <d v="1899-12-30T15:20:00.000"/>
    <d v="2019-05-24T00:00:00.000"/>
    <s v="EQ"/>
    <m/>
    <s v="BCCW4X8"/>
    <s v="GB00BCCW4X83"/>
    <s v="CENTRALNIC GROUP PLC"/>
    <s v="N"/>
    <s v="N"/>
    <s v="N/A"/>
    <m/>
    <m/>
    <m/>
    <s v="SELL"/>
    <n v="250000"/>
    <n v="250000"/>
    <s v="0.66"/>
    <s v="165000"/>
    <s v="164669"/>
    <s v="330"/>
    <s v="0"/>
    <s v="1"/>
    <s v="GBP"/>
    <s v="GBP"/>
    <n v="164669"/>
  </r>
  <r>
    <x v="0"/>
    <d v="2019-05-23T00:00:00.000"/>
    <s v="3000291"/>
    <s v="000448"/>
    <s v="Confirmed"/>
    <s v="N"/>
    <x v="3"/>
    <d v="2019-05-22T00:00:00.000"/>
    <d v="1899-12-30T12:09:12.000"/>
    <d v="2019-05-24T00:00:00.000"/>
    <s v="EQ"/>
    <m/>
    <s v="BZ77SW6"/>
    <s v="GB00BZ77SW60"/>
    <s v="NEXUS INFRASTRUCTURE PLC"/>
    <s v="N"/>
    <s v="N"/>
    <s v="N/A"/>
    <m/>
    <m/>
    <m/>
    <s v="SELL"/>
    <n v="8950"/>
    <n v="8950"/>
    <s v="1.3"/>
    <s v="11635"/>
    <s v="11610.73"/>
    <s v="23.27"/>
    <s v="0"/>
    <s v="1"/>
    <s v="GBP"/>
    <s v="GBP"/>
    <n v="11610.73"/>
  </r>
  <r>
    <x v="1"/>
    <d v="2019-05-24T00:00:00.000"/>
    <s v="3000290"/>
    <s v="000531"/>
    <s v="Confirmed"/>
    <s v="N"/>
    <x v="4"/>
    <d v="2019-05-23T00:00:00.000"/>
    <d v="1899-12-30T12:26:37.000"/>
    <d v="2019-05-28T00:00:00.000"/>
    <s v="EQ"/>
    <m/>
    <s v="B196F55"/>
    <s v="GB00B196F554"/>
    <s v="AVATION PLC"/>
    <s v="N"/>
    <s v="N"/>
    <s v="N/A"/>
    <m/>
    <m/>
    <m/>
    <s v="SELL"/>
    <n v="10000"/>
    <n v="10000"/>
    <s v="2.94"/>
    <s v="29400"/>
    <s v="29340.2"/>
    <s v="58.8"/>
    <s v="0"/>
    <s v="1"/>
    <s v="GBP"/>
    <s v="GBP"/>
    <n v="29340.2"/>
  </r>
  <r>
    <x v="1"/>
    <d v="2019-05-24T00:00:00.000"/>
    <s v="3000290"/>
    <s v="000532"/>
    <s v="Confirmed"/>
    <s v="N"/>
    <x v="3"/>
    <d v="2019-05-23T00:00:00.000"/>
    <d v="1899-12-30T16:14:05.000"/>
    <d v="2019-05-28T00:00:00.000"/>
    <s v="EQ"/>
    <m/>
    <s v="BZ77SW6"/>
    <s v="GB00BZ77SW60"/>
    <s v="NEXUS INFRASTRUCTURE PLC"/>
    <s v="N"/>
    <s v="N"/>
    <s v="N/A"/>
    <m/>
    <m/>
    <m/>
    <s v="SELL"/>
    <n v="197039"/>
    <n v="197039"/>
    <s v="1.3"/>
    <s v="256150.7"/>
    <s v="255637.3986"/>
    <s v="512.3014"/>
    <s v="0"/>
    <s v="1"/>
    <s v="GBP"/>
    <s v="GBP"/>
    <n v="255637.3986"/>
  </r>
  <r>
    <x v="0"/>
    <d v="2019-05-24T00:00:00.000"/>
    <s v="3000291"/>
    <s v="000449"/>
    <s v="Confirmed"/>
    <s v="N"/>
    <x v="3"/>
    <d v="2019-05-23T00:00:00.000"/>
    <d v="1899-12-30T16:14:05.000"/>
    <d v="2019-05-28T00:00:00.000"/>
    <s v="EQ"/>
    <m/>
    <s v="BZ77SW6"/>
    <s v="GB00BZ77SW60"/>
    <s v="NEXUS INFRASTRUCTURE PLC"/>
    <s v="N"/>
    <s v="N"/>
    <s v="N/A"/>
    <m/>
    <m/>
    <m/>
    <s v="SELL"/>
    <n v="42961"/>
    <n v="42961"/>
    <s v="1.3"/>
    <s v="55849.3"/>
    <s v="55736.6014"/>
    <s v="111.6986"/>
    <s v="0"/>
    <s v="1"/>
    <s v="GBP"/>
    <s v="GBP"/>
    <n v="55736.6014"/>
  </r>
  <r>
    <x v="1"/>
    <d v="2019-05-28T00:00:00.000"/>
    <s v="3000290"/>
    <s v="000533"/>
    <s v="Confirmed"/>
    <s v="N"/>
    <x v="3"/>
    <d v="2019-05-24T00:00:00.000"/>
    <d v="1899-12-30T15:53:17.000"/>
    <d v="2019-05-29T00:00:00.000"/>
    <s v="EQ"/>
    <m/>
    <s v="BZ77SW6"/>
    <s v="GB00BZ77SW60"/>
    <s v="NEXUS INFRASTRUCTURE PLC"/>
    <s v="N"/>
    <s v="N"/>
    <s v="N/A"/>
    <m/>
    <m/>
    <m/>
    <s v="SELL"/>
    <n v="632166"/>
    <n v="632166"/>
    <s v="1.3"/>
    <s v="821815.8"/>
    <s v="820171.1684"/>
    <s v="1643.6316"/>
    <s v="0"/>
    <s v="1"/>
    <s v="GBP"/>
    <s v="GBP"/>
    <n v="820171.1684"/>
  </r>
  <r>
    <x v="0"/>
    <d v="2019-05-28T00:00:00.000"/>
    <s v="3000291"/>
    <s v="000450"/>
    <s v="Confirmed"/>
    <s v="N"/>
    <x v="3"/>
    <d v="2019-05-24T00:00:00.000"/>
    <d v="1899-12-30T15:53:17.000"/>
    <d v="2019-05-29T00:00:00.000"/>
    <s v="EQ"/>
    <m/>
    <s v="BZ77SW6"/>
    <s v="GB00BZ77SW60"/>
    <s v="NEXUS INFRASTRUCTURE PLC"/>
    <s v="N"/>
    <s v="N"/>
    <s v="N/A"/>
    <m/>
    <m/>
    <m/>
    <s v="SELL"/>
    <n v="137834"/>
    <n v="137834"/>
    <s v="1.3"/>
    <s v="179184.2"/>
    <s v="178824.8316"/>
    <s v="358.3684"/>
    <s v="0"/>
    <s v="1"/>
    <s v="GBP"/>
    <s v="GBP"/>
    <n v="178824.8316"/>
  </r>
  <r>
    <x v="0"/>
    <d v="2019-05-31T00:00:00.000"/>
    <s v="3000291"/>
    <s v="000451"/>
    <s v="Confirmed"/>
    <s v="N"/>
    <x v="3"/>
    <d v="2019-05-31T00:00:00.000"/>
    <d v="1899-12-30T08:53:00.000"/>
    <d v="2019-06-04T00:00:00.000"/>
    <s v="EQ"/>
    <m/>
    <s v="0176581"/>
    <s v="GB0001765816"/>
    <s v="BREWIN DOLPHIN HOLDINGS PLC"/>
    <s v="N"/>
    <s v="N"/>
    <s v="N/A"/>
    <m/>
    <m/>
    <m/>
    <s v="BUY"/>
    <n v="29600"/>
    <n v="29600"/>
    <s v="3.059986"/>
    <s v="90575.5856"/>
    <s v="91211.51677"/>
    <s v="181.1511712"/>
    <s v="0"/>
    <s v="454.78"/>
    <s v="GBP"/>
    <s v="GBP"/>
    <n v="91211.51677"/>
  </r>
  <r>
    <x v="0"/>
    <d v="2019-05-31T00:00:00.000"/>
    <s v="3000291"/>
    <s v="000452"/>
    <s v="Confirmed"/>
    <s v="N"/>
    <x v="3"/>
    <d v="2019-05-31T00:00:00.000"/>
    <d v="1899-12-30T09:12:53.000"/>
    <d v="2019-06-04T00:00:00.000"/>
    <s v="EQ"/>
    <m/>
    <s v="BYYJL41"/>
    <s v="GB00BYYJL418"/>
    <s v="NORCROS PLC"/>
    <s v="N"/>
    <s v="N"/>
    <s v="N/A"/>
    <m/>
    <m/>
    <m/>
    <s v="BUY"/>
    <n v="49000"/>
    <n v="49000"/>
    <s v="1.96"/>
    <s v="96040"/>
    <s v="96714.24"/>
    <s v="192.08"/>
    <s v="0"/>
    <s v="482.16"/>
    <s v="GBP"/>
    <s v="GBP"/>
    <n v="96714.24"/>
  </r>
  <r>
    <x v="0"/>
    <d v="2019-05-31T00:00:00.000"/>
    <s v="3000291"/>
    <s v="000453"/>
    <s v="Confirmed"/>
    <s v="N"/>
    <x v="3"/>
    <d v="2019-05-31T00:00:00.000"/>
    <d v="1899-12-30T08:30:20.000"/>
    <d v="2019-06-04T00:00:00.000"/>
    <s v="EQ"/>
    <m/>
    <s v="BYWVDP4"/>
    <s v="GB00BYWVDP49"/>
    <s v="SABRE INSURANCE GROUP PLC"/>
    <s v="N"/>
    <s v="N"/>
    <s v="N/A"/>
    <m/>
    <m/>
    <m/>
    <s v="BUY"/>
    <n v="44000"/>
    <n v="44000"/>
    <s v="2.61"/>
    <s v="114840"/>
    <s v="115646.03"/>
    <s v="229.68"/>
    <s v="0"/>
    <s v="576.35"/>
    <s v="GBP"/>
    <s v="GBP"/>
    <n v="115646.03"/>
  </r>
  <r>
    <x v="0"/>
    <d v="2019-05-31T00:00:00.000"/>
    <s v="3000291"/>
    <s v="000454"/>
    <s v="Confirmed"/>
    <s v="N"/>
    <x v="9"/>
    <d v="2019-05-31T00:00:00.000"/>
    <d v="1899-12-30T09:04:21.000"/>
    <d v="2019-06-04T00:00:00.000"/>
    <s v="EQ"/>
    <m/>
    <s v="BD6RF22"/>
    <s v="GB00BD6RF223"/>
    <s v="WATKIN JONES PLC"/>
    <s v="N"/>
    <s v="N"/>
    <s v="N/A"/>
    <m/>
    <m/>
    <m/>
    <s v="BUY"/>
    <n v="67000"/>
    <n v="67000"/>
    <s v="2.16"/>
    <s v="144720"/>
    <s v="145010.44"/>
    <s v="289.44"/>
    <s v="0"/>
    <s v="1"/>
    <s v="GBP"/>
    <s v="GBP"/>
    <n v="145010.44"/>
  </r>
  <r>
    <x v="0"/>
    <d v="2019-05-31T00:00:00.000"/>
    <s v="3000291"/>
    <s v="000455"/>
    <s v="Confirmed"/>
    <s v="N"/>
    <x v="3"/>
    <d v="2019-05-31T00:00:00.000"/>
    <d v="1899-12-30T08:53:58.000"/>
    <d v="2019-06-04T00:00:00.000"/>
    <s v="EQ"/>
    <m/>
    <s v="BMTRW10"/>
    <s v="LU1072616219"/>
    <s v="B&amp;M EUROPEAN VALUE RETAIL S.A."/>
    <s v="N"/>
    <s v="N"/>
    <s v="N/A"/>
    <m/>
    <m/>
    <m/>
    <s v="BUY"/>
    <n v="61000"/>
    <n v="61000"/>
    <s v="3.522"/>
    <s v="214842"/>
    <s v="215056.842"/>
    <s v="214.842"/>
    <s v="0"/>
    <s v="0"/>
    <s v="GBP"/>
    <s v="GBP"/>
    <n v="215056.842"/>
  </r>
  <r>
    <x v="0"/>
    <d v="2019-05-31T00:00:00.000"/>
    <s v="3000291"/>
    <s v="000456"/>
    <s v="Confirmed"/>
    <s v="N"/>
    <x v="3"/>
    <d v="2019-05-31T00:00:00.000"/>
    <d v="1899-12-30T10:13:28.000"/>
    <d v="2019-06-04T00:00:00.000"/>
    <s v="EQ"/>
    <m/>
    <s v="BMMV6B7"/>
    <s v="GB00BMMV6B79"/>
    <s v="CLIPPER LOGISTICS PLC"/>
    <s v="N"/>
    <s v="N"/>
    <s v="N/A"/>
    <m/>
    <m/>
    <m/>
    <s v="BUY"/>
    <n v="24500"/>
    <n v="24500"/>
    <s v="2.8"/>
    <s v="68600"/>
    <s v="69081.89"/>
    <s v="137.2"/>
    <s v="0"/>
    <s v="344.69"/>
    <s v="GBP"/>
    <s v="GBP"/>
    <n v="69081.89"/>
  </r>
  <r>
    <x v="0"/>
    <d v="2019-05-31T00:00:00.000"/>
    <s v="3000291"/>
    <s v="000457"/>
    <s v="Confirmed"/>
    <s v="N"/>
    <x v="1"/>
    <d v="2019-05-31T00:00:00.000"/>
    <d v="1899-12-30T09:27:23.000"/>
    <d v="2019-06-04T00:00:00.000"/>
    <s v="EQ"/>
    <m/>
    <s v="0918642"/>
    <s v="GB0009186429"/>
    <s v="FINSBURY FOOD GROUP PLC"/>
    <s v="N"/>
    <s v="N"/>
    <s v="N/A"/>
    <m/>
    <m/>
    <m/>
    <s v="BUY"/>
    <n v="243000"/>
    <n v="243000"/>
    <s v="0.78"/>
    <s v="189540"/>
    <s v="189920.08"/>
    <s v="379.08"/>
    <s v="0"/>
    <s v="1"/>
    <s v="GBP"/>
    <s v="GBP"/>
    <n v="189920.08"/>
  </r>
  <r>
    <x v="0"/>
    <d v="2019-05-31T00:00:00.000"/>
    <s v="3000291"/>
    <s v="000458"/>
    <s v="Confirmed"/>
    <s v="N"/>
    <x v="7"/>
    <d v="2019-05-31T00:00:00.000"/>
    <d v="1899-12-30T10:52:00.000"/>
    <d v="2019-06-04T00:00:00.000"/>
    <s v="EQ"/>
    <m/>
    <s v="B64NSP7"/>
    <s v="GB00B64NSP76"/>
    <s v="COSTAIN GROUP PLC"/>
    <s v="N"/>
    <s v="N"/>
    <s v="N/A"/>
    <m/>
    <m/>
    <m/>
    <s v="BUY"/>
    <n v="39000"/>
    <n v="39000"/>
    <s v="3.18"/>
    <s v="124020"/>
    <s v="124890.38"/>
    <s v="248.04"/>
    <s v="0"/>
    <s v="622.34"/>
    <s v="GBP"/>
    <s v="GBP"/>
    <n v="124890.38"/>
  </r>
  <r>
    <x v="0"/>
    <d v="2019-05-31T00:00:00.000"/>
    <s v="3000291"/>
    <s v="000459"/>
    <s v="Confirmed"/>
    <s v="N"/>
    <x v="8"/>
    <d v="2019-05-31T00:00:00.000"/>
    <d v="1899-12-30T09:33:39.000"/>
    <d v="2019-06-04T00:00:00.000"/>
    <s v="EQ"/>
    <m/>
    <s v="B5TZC71"/>
    <s v="GB00B5TZC716"/>
    <s v="INSPIRED ENERGY PLC"/>
    <s v="N"/>
    <s v="N"/>
    <s v="N/A"/>
    <m/>
    <m/>
    <m/>
    <s v="BUY"/>
    <n v="1963000"/>
    <n v="1963000"/>
    <s v="0.145"/>
    <s v="284635"/>
    <s v="285205.27"/>
    <s v="569.27"/>
    <s v="0"/>
    <s v="1"/>
    <s v="GBP"/>
    <s v="GBP"/>
    <n v="285205.27"/>
  </r>
  <r>
    <x v="0"/>
    <d v="2019-05-31T00:00:00.000"/>
    <s v="3000291"/>
    <s v="000460"/>
    <s v="Confirmed"/>
    <s v="N"/>
    <x v="7"/>
    <d v="2019-05-31T00:00:00.000"/>
    <d v="1899-12-30T10:49:00.000"/>
    <d v="2019-06-04T00:00:00.000"/>
    <s v="EQ"/>
    <m/>
    <s v="BDDN1T2"/>
    <s v="GB00BDDN1T20"/>
    <s v="XPS PENSIONS GROUP PLC"/>
    <s v="N"/>
    <s v="N"/>
    <s v="N/A"/>
    <m/>
    <m/>
    <m/>
    <s v="BUY"/>
    <n v="33153"/>
    <n v="33153"/>
    <s v="1.55"/>
    <s v="51387.15"/>
    <s v="51748.3743"/>
    <s v="102.7743"/>
    <s v="0"/>
    <s v="258.45"/>
    <s v="GBP"/>
    <s v="GBP"/>
    <n v="51748.3743"/>
  </r>
  <r>
    <x v="0"/>
    <d v="2019-05-31T00:00:00.000"/>
    <s v="3000291"/>
    <s v="000461"/>
    <s v="Confirmed"/>
    <s v="N"/>
    <x v="3"/>
    <d v="2019-05-31T00:00:00.000"/>
    <d v="1899-12-30T10:49:25.000"/>
    <d v="2019-06-04T00:00:00.000"/>
    <s v="EQ"/>
    <m/>
    <s v="BF020D3"/>
    <s v="GB00BF020D33"/>
    <s v="TEN ENTERTAINMENT GROUP PLC"/>
    <s v="N"/>
    <s v="N"/>
    <s v="N/A"/>
    <m/>
    <m/>
    <m/>
    <s v="BUY"/>
    <n v="64000"/>
    <n v="64000"/>
    <s v="2.275"/>
    <s v="145600"/>
    <s v="146621.66"/>
    <s v="291.2"/>
    <s v="0"/>
    <s v="730.46"/>
    <s v="GBP"/>
    <s v="GBP"/>
    <n v="146621.66"/>
  </r>
  <r>
    <x v="0"/>
    <d v="2019-05-31T00:00:00.000"/>
    <s v="3000291"/>
    <s v="000462"/>
    <s v="Confirmed"/>
    <s v="N"/>
    <x v="13"/>
    <d v="2019-05-31T00:00:00.000"/>
    <d v="1899-12-30T08:48:00.000"/>
    <d v="2019-06-04T00:00:00.000"/>
    <s v="EQ"/>
    <m/>
    <s v="0929666"/>
    <s v="GB0009296665"/>
    <s v="VITEC GROUP PLC (THE)"/>
    <s v="N"/>
    <s v="N"/>
    <s v="N/A"/>
    <m/>
    <m/>
    <m/>
    <s v="BUY"/>
    <n v="10500"/>
    <n v="10500"/>
    <s v="11.25"/>
    <s v="118125"/>
    <s v="118954.06"/>
    <s v="236.25"/>
    <s v="0"/>
    <s v="592.81"/>
    <s v="GBP"/>
    <s v="GBP"/>
    <n v="118954.06"/>
  </r>
  <r>
    <x v="0"/>
    <d v="2019-05-31T00:00:00.000"/>
    <s v="3000291"/>
    <s v="000454"/>
    <s v="Confirmed"/>
    <s v="N"/>
    <x v="9"/>
    <d v="2019-05-31T00:00:00.000"/>
    <d v="1899-12-30T09:04:21.000"/>
    <d v="2019-06-04T00:00:00.000"/>
    <s v="EQ"/>
    <m/>
    <s v="BD6RF22"/>
    <s v="GB00BD6RF223"/>
    <s v="WATKIN JONES PLC"/>
    <s v="N"/>
    <s v="N"/>
    <s v="N/A"/>
    <m/>
    <m/>
    <m/>
    <s v="BUY"/>
    <n v="67000"/>
    <n v="67000"/>
    <s v="2.16"/>
    <s v="144720"/>
    <s v="145010.44"/>
    <s v="289.44"/>
    <s v="0"/>
    <s v="1"/>
    <s v="GBP"/>
    <s v="GBP"/>
    <n v="145010.44"/>
  </r>
  <r>
    <x v="0"/>
    <d v="2019-05-31T00:00:00.000"/>
    <s v="3000291"/>
    <s v="000457"/>
    <s v="Confirmed"/>
    <s v="N"/>
    <x v="1"/>
    <d v="2019-05-31T00:00:00.000"/>
    <d v="1899-12-30T09:27:23.000"/>
    <d v="2019-06-04T00:00:00.000"/>
    <s v="EQ"/>
    <m/>
    <s v="0918642"/>
    <s v="GB0009186429"/>
    <s v="FINSBURY FOOD GROUP PLC"/>
    <s v="N"/>
    <s v="N"/>
    <s v="N/A"/>
    <m/>
    <m/>
    <m/>
    <s v="BUY"/>
    <n v="243000"/>
    <n v="243000"/>
    <s v="0.78"/>
    <s v="189540"/>
    <s v="189920.08"/>
    <s v="379.08"/>
    <s v="0"/>
    <s v="1"/>
    <s v="GBP"/>
    <s v="GBP"/>
    <n v="189920.08"/>
  </r>
  <r>
    <x v="0"/>
    <d v="2019-05-31T00:00:00.000"/>
    <s v="3000291"/>
    <s v="000459"/>
    <s v="Confirmed"/>
    <s v="N"/>
    <x v="8"/>
    <d v="2019-05-31T00:00:00.000"/>
    <d v="1899-12-30T09:33:39.000"/>
    <d v="2019-06-04T00:00:00.000"/>
    <s v="EQ"/>
    <m/>
    <s v="B5TZC71"/>
    <s v="GB00B5TZC716"/>
    <s v="INSPIRED ENERGY PLC"/>
    <s v="N"/>
    <s v="N"/>
    <s v="N/A"/>
    <m/>
    <m/>
    <m/>
    <s v="BUY"/>
    <n v="1963000"/>
    <n v="1963000"/>
    <s v="0.145"/>
    <s v="284635"/>
    <s v="285205.27"/>
    <s v="569.27"/>
    <s v="0"/>
    <s v="1"/>
    <s v="GBP"/>
    <s v="GBP"/>
    <n v="285205.27"/>
  </r>
  <r>
    <x v="0"/>
    <d v="2019-06-03T00:00:00.000"/>
    <s v="3000291"/>
    <s v="000465"/>
    <s v="Confirmed"/>
    <s v="N"/>
    <x v="3"/>
    <d v="2019-05-31T00:00:00.000"/>
    <d v="1899-12-30T16:35:24.000"/>
    <d v="2019-06-04T00:00:00.000"/>
    <s v="EQ"/>
    <m/>
    <s v="B05M646"/>
    <s v="GB00B05M6465"/>
    <s v="NUMIS CORPORATION PLC"/>
    <s v="N"/>
    <s v="N"/>
    <s v="N/A"/>
    <m/>
    <m/>
    <m/>
    <s v="BUY"/>
    <n v="12000"/>
    <n v="12000"/>
    <s v="2.694949"/>
    <s v="32339.388"/>
    <s v="32405.06678"/>
    <s v="64.678776"/>
    <s v="0"/>
    <s v="1"/>
    <s v="GBP"/>
    <s v="GBP"/>
    <n v="32405.06678"/>
  </r>
  <r>
    <x v="0"/>
    <d v="2019-06-05T00:00:00.000"/>
    <s v="3000291"/>
    <s v="000466"/>
    <s v="Confirmed"/>
    <s v="N"/>
    <x v="3"/>
    <d v="2019-06-04T00:00:00.000"/>
    <d v="1899-12-30T14:37:41.000"/>
    <d v="2019-06-06T00:00:00.000"/>
    <s v="EQ"/>
    <m/>
    <s v="B05M646"/>
    <s v="GB00B05M6465"/>
    <s v="NUMIS CORPORATION PLC"/>
    <s v="N"/>
    <s v="N"/>
    <s v="N/A"/>
    <m/>
    <m/>
    <m/>
    <s v="BUY"/>
    <n v="41000"/>
    <n v="41000"/>
    <s v="2.68"/>
    <s v="109880"/>
    <s v="110100.76"/>
    <s v="219.76"/>
    <s v="0"/>
    <s v="1"/>
    <s v="GBP"/>
    <s v="GBP"/>
    <n v="110100.76"/>
  </r>
  <r>
    <x v="1"/>
    <d v="2019-06-07T00:00:00.000"/>
    <s v="3000290"/>
    <s v="000535"/>
    <s v="Confirmed"/>
    <s v="N"/>
    <x v="6"/>
    <d v="2019-06-06T00:00:00.000"/>
    <d v="1899-12-30T16:29:00.000"/>
    <d v="2019-06-10T00:00:00.000"/>
    <s v="EQ"/>
    <m/>
    <s v="BYX1P35"/>
    <s v="GB00BYX1P358"/>
    <s v="TATTON ASSET MANAGEMENT PLC"/>
    <s v="N"/>
    <s v="N"/>
    <s v="N/A"/>
    <m/>
    <m/>
    <m/>
    <s v="BUY"/>
    <n v="228000"/>
    <n v="228000"/>
    <s v="2.08"/>
    <s v="474240"/>
    <s v="475189.48"/>
    <s v="948.48"/>
    <s v="0"/>
    <s v="1"/>
    <s v="GBP"/>
    <s v="GBP"/>
    <n v="475189.48"/>
  </r>
  <r>
    <x v="1"/>
    <d v="2019-06-07T00:00:00.000"/>
    <s v="3000290"/>
    <s v="000536"/>
    <s v="Confirmed"/>
    <s v="N"/>
    <x v="15"/>
    <d v="2019-06-06T00:00:00.000"/>
    <d v="1899-12-30T17:33:19.000"/>
    <d v="2019-06-10T00:00:00.000"/>
    <s v="EQ"/>
    <m/>
    <s v="BYVX2X2"/>
    <s v="GB00BYVX2X20"/>
    <s v="TEAM17 GROUP PLC"/>
    <s v="N"/>
    <s v="N"/>
    <s v="N/A"/>
    <m/>
    <m/>
    <m/>
    <s v="SELL"/>
    <n v="220000"/>
    <n v="220000"/>
    <s v="2.415"/>
    <s v="531300"/>
    <s v="530236.4"/>
    <s v="1062.6"/>
    <s v="0"/>
    <s v="1"/>
    <s v="GBP"/>
    <s v="GBP"/>
    <n v="530236.4"/>
  </r>
  <r>
    <x v="0"/>
    <d v="2019-06-07T00:00:00.000"/>
    <s v="3000291"/>
    <s v="000468"/>
    <s v="Confirmed"/>
    <s v="N"/>
    <x v="6"/>
    <d v="2019-06-06T00:00:00.000"/>
    <d v="1899-12-30T16:29:00.000"/>
    <d v="2019-06-10T00:00:00.000"/>
    <s v="EQ"/>
    <m/>
    <s v="BYX1P35"/>
    <s v="GB00BYX1P358"/>
    <s v="TATTON ASSET MANAGEMENT PLC"/>
    <s v="N"/>
    <s v="N"/>
    <s v="N/A"/>
    <m/>
    <m/>
    <m/>
    <s v="BUY"/>
    <n v="52000"/>
    <n v="52000"/>
    <s v="2.08"/>
    <s v="108160"/>
    <s v="108377.32"/>
    <s v="216.32"/>
    <s v="0"/>
    <s v="1"/>
    <s v="GBP"/>
    <s v="GBP"/>
    <n v="108377.32"/>
  </r>
  <r>
    <x v="1"/>
    <d v="2019-06-11T00:00:00.000"/>
    <s v="3000290"/>
    <s v="000537"/>
    <s v="Confirmed"/>
    <s v="N"/>
    <x v="7"/>
    <d v="2019-06-10T00:00:00.000"/>
    <d v="1899-12-30T13:24:00.000"/>
    <d v="2019-06-12T00:00:00.000"/>
    <s v="EQ"/>
    <m/>
    <s v="BYWRS68"/>
    <s v="GB00BYWRS683"/>
    <s v="CITY PUB GROUP PLC (THE)"/>
    <s v="N"/>
    <s v="N"/>
    <s v="N/A"/>
    <m/>
    <m/>
    <m/>
    <s v="SELL"/>
    <n v="600000"/>
    <n v="600000"/>
    <s v="2.2"/>
    <s v="1320000"/>
    <s v="1317359"/>
    <s v="2640"/>
    <s v="0"/>
    <s v="1"/>
    <s v="GBP"/>
    <s v="GBP"/>
    <n v="1317359"/>
  </r>
  <r>
    <x v="2"/>
    <d v="2019-06-11T00:00:00.000"/>
    <s v="3000292"/>
    <m/>
    <s v="Confirmed"/>
    <s v="N"/>
    <x v="3"/>
    <d v="2019-06-10T00:00:00.000"/>
    <d v="1899-12-30T14:45:57.000"/>
    <d v="2019-06-14T00:00:00.000"/>
    <s v="EQ"/>
    <m/>
    <s v="BF16C05"/>
    <s v="GB00BF16C058"/>
    <s v="ALPHA FINANCIAL MARKETS CONSULTING PLC"/>
    <s v="N"/>
    <s v="N"/>
    <s v="N/A"/>
    <m/>
    <m/>
    <m/>
    <s v="BUY"/>
    <n v="6869"/>
    <n v="6869"/>
    <s v="2.31145"/>
    <s v="15877.35005"/>
    <s v="15910.10475"/>
    <s v="31.7547001"/>
    <s v="0"/>
    <s v="1"/>
    <s v="GBP"/>
    <s v="GBP"/>
    <n v="15910.10475"/>
  </r>
  <r>
    <x v="2"/>
    <d v="2019-06-11T00:00:00.000"/>
    <s v="3000292"/>
    <m/>
    <s v="Confirmed"/>
    <s v="N"/>
    <x v="2"/>
    <d v="2019-06-10T00:00:00.000"/>
    <d v="1899-12-30T11:55:00.000"/>
    <d v="2019-06-14T00:00:00.000"/>
    <s v="EQ"/>
    <m/>
    <s v="B286382"/>
    <s v="GB00B2863827"/>
    <s v="CVS GROUP PLC"/>
    <s v="N"/>
    <s v="N"/>
    <s v="N/A"/>
    <m/>
    <m/>
    <m/>
    <s v="BUY"/>
    <n v="9100"/>
    <n v="9100"/>
    <s v="6.465"/>
    <s v="58831.5"/>
    <s v="58950.163"/>
    <s v="117.663"/>
    <s v="0"/>
    <s v="1"/>
    <s v="GBP"/>
    <s v="GBP"/>
    <n v="58950.163"/>
  </r>
  <r>
    <x v="2"/>
    <d v="2019-06-11T00:00:00.000"/>
    <s v="3000292"/>
    <m/>
    <s v="Confirmed"/>
    <s v="N"/>
    <x v="1"/>
    <d v="2019-06-10T00:00:00.000"/>
    <d v="1899-12-30T15:48:53.000"/>
    <d v="2019-06-14T00:00:00.000"/>
    <s v="EQ"/>
    <m/>
    <s v="0918642"/>
    <s v="GB0009186429"/>
    <s v="FINSBURY FOOD GROUP PLC"/>
    <s v="N"/>
    <s v="N"/>
    <s v="N/A"/>
    <m/>
    <m/>
    <m/>
    <s v="BUY"/>
    <n v="67100"/>
    <n v="67100"/>
    <s v="0.74"/>
    <s v="49654"/>
    <s v="49754.308"/>
    <s v="99.308"/>
    <s v="0"/>
    <s v="1"/>
    <s v="GBP"/>
    <s v="GBP"/>
    <n v="49754.308"/>
  </r>
  <r>
    <x v="2"/>
    <d v="2019-06-11T00:00:00.000"/>
    <s v="3000292"/>
    <m/>
    <s v="Confirmed"/>
    <s v="N"/>
    <x v="1"/>
    <d v="2019-06-10T00:00:00.000"/>
    <d v="1899-12-30T11:03:36.000"/>
    <d v="2019-06-14T00:00:00.000"/>
    <s v="EQ"/>
    <m/>
    <s v="BDB7J92"/>
    <s v="GB00BDB7J920"/>
    <s v="FILTA GROUP HOLDINGS PLC"/>
    <s v="N"/>
    <s v="N"/>
    <s v="N/A"/>
    <m/>
    <m/>
    <m/>
    <s v="BUY"/>
    <n v="39600"/>
    <n v="39600"/>
    <s v="2.22"/>
    <s v="87912"/>
    <s v="88088.824"/>
    <s v="175.824"/>
    <s v="0"/>
    <s v="1"/>
    <s v="GBP"/>
    <s v="GBP"/>
    <n v="88088.824"/>
  </r>
  <r>
    <x v="2"/>
    <d v="2019-06-11T00:00:00.000"/>
    <s v="3000292"/>
    <m/>
    <s v="Confirmed"/>
    <s v="N"/>
    <x v="5"/>
    <d v="2019-06-10T00:00:00.000"/>
    <d v="1899-12-30T12:04:05.000"/>
    <d v="2019-06-14T00:00:00.000"/>
    <s v="EQ"/>
    <m/>
    <s v="0687061"/>
    <s v="GB0006870611"/>
    <s v="GB GROUP PLC"/>
    <s v="N"/>
    <s v="N"/>
    <s v="N/A"/>
    <m/>
    <m/>
    <m/>
    <s v="BUY"/>
    <n v="9150"/>
    <n v="9150"/>
    <s v="5.792678"/>
    <s v="53003.0037"/>
    <s v="53110.00971"/>
    <s v="106.0060074"/>
    <s v="0"/>
    <s v="1"/>
    <s v="GBP"/>
    <s v="GBP"/>
    <n v="53110.00971"/>
  </r>
  <r>
    <x v="2"/>
    <d v="2019-06-11T00:00:00.000"/>
    <s v="3000292"/>
    <m/>
    <s v="Confirmed"/>
    <s v="N"/>
    <x v="1"/>
    <d v="2019-06-10T00:00:00.000"/>
    <d v="1899-12-30T13:47:34.000"/>
    <d v="2019-06-14T00:00:00.000"/>
    <s v="EQ"/>
    <m/>
    <s v="0452690"/>
    <s v="GB0004526900"/>
    <s v="IG DESIGN GROUP PLC"/>
    <s v="N"/>
    <s v="N"/>
    <s v="N/A"/>
    <m/>
    <m/>
    <m/>
    <s v="BUY"/>
    <n v="11400"/>
    <n v="11400"/>
    <s v="6.1"/>
    <s v="69540"/>
    <s v="69680.08"/>
    <s v="139.08"/>
    <s v="0"/>
    <s v="1"/>
    <s v="GBP"/>
    <s v="GBP"/>
    <n v="69680.08"/>
  </r>
  <r>
    <x v="2"/>
    <d v="2019-06-11T00:00:00.000"/>
    <s v="3000292"/>
    <m/>
    <s v="Confirmed"/>
    <s v="N"/>
    <x v="6"/>
    <d v="2019-06-10T00:00:00.000"/>
    <d v="1899-12-30T13:14:00.000"/>
    <d v="2019-06-14T00:00:00.000"/>
    <s v="EQ"/>
    <m/>
    <s v="BF0FMG9"/>
    <s v="IM00BF0FMG91"/>
    <s v="STRIX GROUP PLC"/>
    <s v="N"/>
    <s v="N"/>
    <s v="N/A"/>
    <m/>
    <m/>
    <m/>
    <s v="BUY"/>
    <n v="39500"/>
    <n v="39500"/>
    <s v="1.585"/>
    <s v="62607.5"/>
    <s v="62733.715"/>
    <s v="125.215"/>
    <s v="0"/>
    <s v="1"/>
    <s v="GBP"/>
    <s v="GBP"/>
    <n v="62733.715"/>
  </r>
  <r>
    <x v="2"/>
    <d v="2019-06-11T00:00:00.000"/>
    <s v="3000292"/>
    <m/>
    <s v="Confirmed"/>
    <s v="N"/>
    <x v="7"/>
    <d v="2019-06-10T00:00:00.000"/>
    <d v="1899-12-30T11:33:00.000"/>
    <d v="2019-06-14T00:00:00.000"/>
    <s v="EQ"/>
    <m/>
    <s v="BH4JR00"/>
    <s v="GB00BH4JR002"/>
    <s v="LOUNGERS PLC"/>
    <s v="N"/>
    <s v="N"/>
    <s v="N/A"/>
    <m/>
    <m/>
    <m/>
    <s v="BUY"/>
    <n v="27800"/>
    <n v="27800"/>
    <s v="2.26"/>
    <s v="62828"/>
    <s v="62954.656"/>
    <s v="125.656"/>
    <s v="0"/>
    <s v="1"/>
    <s v="GBP"/>
    <s v="GBP"/>
    <n v="62954.656"/>
  </r>
  <r>
    <x v="2"/>
    <d v="2019-06-11T00:00:00.000"/>
    <s v="3000292"/>
    <m/>
    <s v="Confirmed"/>
    <s v="N"/>
    <x v="3"/>
    <d v="2019-06-10T00:00:00.000"/>
    <d v="1899-12-30T16:35:25.000"/>
    <d v="2019-06-14T00:00:00.000"/>
    <s v="EQ"/>
    <m/>
    <s v="BQSBH50"/>
    <s v="GB00BQSBH502"/>
    <s v="MORTGAGE ADVICE BUREAU (HOLDINGS) PLC"/>
    <s v="N"/>
    <s v="N"/>
    <s v="N/A"/>
    <m/>
    <m/>
    <m/>
    <s v="BUY"/>
    <n v="7941"/>
    <n v="7941"/>
    <s v="5.896906"/>
    <s v="46827.33055"/>
    <s v="46921.97521"/>
    <s v="93.65466109"/>
    <s v="0"/>
    <s v="1"/>
    <s v="GBP"/>
    <s v="GBP"/>
    <n v="46921.97521"/>
  </r>
  <r>
    <x v="2"/>
    <d v="2019-06-11T00:00:00.000"/>
    <s v="3000292"/>
    <m/>
    <s v="Confirmed"/>
    <s v="N"/>
    <x v="6"/>
    <d v="2019-06-10T00:00:00.000"/>
    <d v="1899-12-30T13:50:00.000"/>
    <d v="2019-06-14T00:00:00.000"/>
    <s v="EQ"/>
    <m/>
    <s v="B0MT3Y9"/>
    <s v="GB00B0MT3Y97"/>
    <s v="MATTIOLI WOODS PLC"/>
    <s v="N"/>
    <s v="N"/>
    <s v="N/A"/>
    <m/>
    <m/>
    <m/>
    <s v="BUY"/>
    <n v="5000"/>
    <n v="5000"/>
    <s v="8.1"/>
    <s v="40500"/>
    <s v="40582"/>
    <s v="81"/>
    <s v="0"/>
    <s v="1"/>
    <s v="GBP"/>
    <s v="GBP"/>
    <n v="40582"/>
  </r>
  <r>
    <x v="2"/>
    <d v="2019-06-11T00:00:00.000"/>
    <s v="3000292"/>
    <m/>
    <s v="Confirmed"/>
    <s v="N"/>
    <x v="3"/>
    <d v="2019-06-10T00:00:00.000"/>
    <d v="1899-12-30T16:29:43.000"/>
    <d v="2019-06-14T00:00:00.000"/>
    <s v="EQ"/>
    <m/>
    <s v="3002605"/>
    <s v="GB0030026057"/>
    <s v="NEXT FIFTEEN COMMUNICATIONS GROUP PLC"/>
    <s v="N"/>
    <s v="N"/>
    <s v="N/A"/>
    <m/>
    <m/>
    <m/>
    <s v="BUY"/>
    <n v="5954"/>
    <n v="5954"/>
    <s v="5.899723"/>
    <s v="35126.95074"/>
    <s v="35198.20464"/>
    <s v="70.25390148"/>
    <s v="0"/>
    <s v="1"/>
    <s v="GBP"/>
    <s v="GBP"/>
    <n v="35198.20464"/>
  </r>
  <r>
    <x v="2"/>
    <d v="2019-06-11T00:00:00.000"/>
    <s v="3000292"/>
    <m/>
    <s v="Confirmed"/>
    <s v="N"/>
    <x v="2"/>
    <d v="2019-06-10T00:00:00.000"/>
    <d v="1899-12-30T11:47:00.000"/>
    <d v="2019-06-14T00:00:00.000"/>
    <s v="EQ"/>
    <m/>
    <s v="0638939"/>
    <s v="GB0006389398"/>
    <s v="NICHOLS PLC"/>
    <s v="N"/>
    <s v="N"/>
    <s v="N/A"/>
    <m/>
    <m/>
    <m/>
    <s v="BUY"/>
    <n v="1900"/>
    <n v="1900"/>
    <s v="17.8"/>
    <s v="33820"/>
    <s v="33888.64"/>
    <s v="67.64"/>
    <s v="0"/>
    <s v="1"/>
    <s v="GBP"/>
    <s v="GBP"/>
    <n v="33888.64"/>
  </r>
  <r>
    <x v="2"/>
    <d v="2019-06-11T00:00:00.000"/>
    <s v="3000292"/>
    <m/>
    <s v="Confirmed"/>
    <s v="N"/>
    <x v="13"/>
    <d v="2019-06-10T00:00:00.000"/>
    <d v="1899-12-30T11:01:00.000"/>
    <d v="2019-06-14T00:00:00.000"/>
    <s v="EQ"/>
    <m/>
    <s v="BVRZ8S8"/>
    <s v="JE00BVRZ8S85"/>
    <s v="SANNE GROUP PLC"/>
    <s v="N"/>
    <s v="N"/>
    <s v="N/A"/>
    <m/>
    <m/>
    <m/>
    <s v="BUY"/>
    <n v="7490"/>
    <n v="7490"/>
    <s v="6.89"/>
    <s v="51606.1"/>
    <s v="51710.3122"/>
    <s v="103.2122"/>
    <s v="0"/>
    <s v="1"/>
    <s v="GBP"/>
    <s v="GBP"/>
    <n v="51710.3122"/>
  </r>
  <r>
    <x v="2"/>
    <d v="2019-06-11T00:00:00.000"/>
    <s v="3000292"/>
    <m/>
    <s v="Confirmed"/>
    <s v="N"/>
    <x v="9"/>
    <d v="2019-06-10T00:00:00.000"/>
    <d v="1899-12-30T15:46:17.000"/>
    <d v="2019-06-14T00:00:00.000"/>
    <s v="EQ"/>
    <m/>
    <s v="BD6RF22"/>
    <s v="GB00BD6RF223"/>
    <s v="WATKIN JONES PLC"/>
    <s v="N"/>
    <s v="N"/>
    <s v="N/A"/>
    <m/>
    <m/>
    <m/>
    <s v="BUY"/>
    <n v="32250"/>
    <n v="32250"/>
    <s v="2.1"/>
    <s v="67725"/>
    <s v="67861.45"/>
    <s v="135.45"/>
    <s v="0"/>
    <s v="1"/>
    <s v="GBP"/>
    <s v="GBP"/>
    <n v="67861.45"/>
  </r>
  <r>
    <x v="2"/>
    <d v="2019-06-11T00:00:00.000"/>
    <s v="3000292"/>
    <m/>
    <s v="Confirmed"/>
    <s v="N"/>
    <x v="8"/>
    <d v="2019-06-10T00:00:00.000"/>
    <d v="1899-12-30T12:07:43.000"/>
    <d v="2019-06-14T00:00:00.000"/>
    <s v="EQ"/>
    <m/>
    <s v="B5TZC71"/>
    <s v="GB00B5TZC716"/>
    <s v="INSPIRED ENERGY ORD 0.125P"/>
    <s v="N"/>
    <s v="N"/>
    <s v="N/A"/>
    <m/>
    <m/>
    <m/>
    <s v="BUY"/>
    <n v="621000"/>
    <n v="621000"/>
    <s v="0.1475"/>
    <s v="91597.5"/>
    <s v="91781.695"/>
    <s v="183.195"/>
    <s v="0"/>
    <s v="1"/>
    <s v="GBP"/>
    <s v="GBP"/>
    <n v="91781.695"/>
  </r>
  <r>
    <x v="2"/>
    <d v="2019-06-11T00:00:00.000"/>
    <s v="3000292"/>
    <m/>
    <s v="Confirmed"/>
    <s v="N"/>
    <x v="2"/>
    <d v="2019-06-11T00:00:00.000"/>
    <d v="1899-12-30T10:21:19.000"/>
    <d v="2019-06-14T00:00:00.000"/>
    <s v="EQ"/>
    <m/>
    <s v="B5NR1S7"/>
    <s v="GB00B5NR1S72"/>
    <s v="RESTORE ORD"/>
    <s v="N"/>
    <s v="N"/>
    <s v="N/A"/>
    <m/>
    <m/>
    <m/>
    <s v="BUY"/>
    <n v="24150"/>
    <n v="24150"/>
    <s v="4.1"/>
    <s v="99015"/>
    <s v="99214.03"/>
    <s v="198.03"/>
    <s v="0"/>
    <s v="1"/>
    <s v="GBP"/>
    <s v="GBP"/>
    <n v="99214.03"/>
  </r>
  <r>
    <x v="2"/>
    <d v="2019-06-11T00:00:00.000"/>
    <s v="3000292"/>
    <m/>
    <s v="Confirmed"/>
    <s v="N"/>
    <x v="3"/>
    <d v="2019-06-11T00:00:00.000"/>
    <d v="1899-12-30T10:01:36.000"/>
    <d v="2019-06-14T00:00:00.000"/>
    <s v="EQ"/>
    <m/>
    <s v="BF16C05"/>
    <s v="GB00BF16C058"/>
    <s v="ALPHA FINANCIAL MARKETS CONSULTING PLC"/>
    <s v="N"/>
    <s v="N"/>
    <s v="N/A"/>
    <m/>
    <m/>
    <m/>
    <s v="BUY"/>
    <n v="21631"/>
    <n v="21631"/>
    <s v="2.31"/>
    <s v="49967.61"/>
    <s v="50068.54522"/>
    <s v="99.93522"/>
    <s v="0"/>
    <s v="1"/>
    <s v="GBP"/>
    <s v="GBP"/>
    <n v="50068.54522"/>
  </r>
  <r>
    <x v="1"/>
    <d v="2019-06-12T00:00:00.000"/>
    <s v="3000290"/>
    <s v="000473"/>
    <s v="Confirmed"/>
    <s v="N"/>
    <x v="15"/>
    <d v="2019-06-12T00:00:00.000"/>
    <d v="1899-12-30T11:09:26.000"/>
    <d v="2019-06-14T00:00:00.000"/>
    <s v="EQ"/>
    <m/>
    <s v="BF16C05"/>
    <s v="GB00BF16C058"/>
    <s v="ALPHA FINANCIAL MARKETS CONSULTING PLC"/>
    <s v="N"/>
    <s v="N"/>
    <s v="N/A"/>
    <m/>
    <m/>
    <m/>
    <s v="BUY"/>
    <n v="535000"/>
    <n v="535000"/>
    <s v="2.29"/>
    <s v="1225150"/>
    <s v="1227601.3"/>
    <s v="2450.3"/>
    <s v="0"/>
    <s v="1"/>
    <s v="GBP"/>
    <s v="GBP"/>
    <n v="1227601.3"/>
  </r>
  <r>
    <x v="0"/>
    <d v="2019-06-12T00:00:00.000"/>
    <s v="3000291"/>
    <s v="000470"/>
    <s v="Confirmed"/>
    <s v="N"/>
    <x v="8"/>
    <d v="2019-06-11T00:00:00.000"/>
    <d v="1899-12-30T16:17:33.000"/>
    <d v="2019-06-13T00:00:00.000"/>
    <s v="EQ"/>
    <m/>
    <s v="B5TZC71"/>
    <s v="GB00B5TZC716"/>
    <s v="INSPIRED ENERGY ORD"/>
    <s v="N"/>
    <s v="N"/>
    <s v="N/A"/>
    <m/>
    <m/>
    <m/>
    <s v="BUY"/>
    <n v="900000"/>
    <n v="900000"/>
    <s v="0.145"/>
    <s v="130500"/>
    <s v="130762"/>
    <s v="261"/>
    <s v="0"/>
    <s v="1"/>
    <s v="GBP"/>
    <s v="GBP"/>
    <n v="130762"/>
  </r>
  <r>
    <x v="0"/>
    <d v="2019-06-12T00:00:00.000"/>
    <s v="3000291"/>
    <s v="000471"/>
    <s v="Confirmed"/>
    <s v="N"/>
    <x v="1"/>
    <d v="2019-06-12T00:00:00.000"/>
    <d v="1899-12-30T08:55:53.000"/>
    <d v="2019-06-14T00:00:00.000"/>
    <s v="EQ"/>
    <m/>
    <s v="B13YVN5"/>
    <s v="GB00B13YVN56"/>
    <s v="VIANET GRP ORD"/>
    <s v="N"/>
    <s v="N"/>
    <s v="N/A"/>
    <m/>
    <m/>
    <m/>
    <s v="BUY"/>
    <n v="40000"/>
    <n v="40000"/>
    <s v="1.405"/>
    <s v="56200"/>
    <s v="56313.4"/>
    <s v="112.4"/>
    <s v="0"/>
    <s v="1"/>
    <s v="GBP"/>
    <s v="GBP"/>
    <n v="56313.4"/>
  </r>
  <r>
    <x v="2"/>
    <d v="2019-06-12T00:00:00.000"/>
    <s v="3000292"/>
    <s v="000118"/>
    <s v="Confirmed"/>
    <s v="N"/>
    <x v="3"/>
    <d v="2019-06-12T00:00:00.000"/>
    <d v="1899-12-30T08:20:18.000"/>
    <d v="2019-06-14T00:00:00.000"/>
    <s v="EQ"/>
    <m/>
    <s v="BQSBH50"/>
    <s v="GB00BQSBH502"/>
    <s v="MORTGAGE ADVICE BUREAU (HOLDINGS) PLC"/>
    <s v="N"/>
    <s v="N"/>
    <s v="N/A"/>
    <m/>
    <m/>
    <m/>
    <s v="BUY"/>
    <n v="2959"/>
    <n v="2959"/>
    <s v="5.9"/>
    <s v="17458.1"/>
    <s v="17494.0162"/>
    <s v="34.9162"/>
    <s v="0"/>
    <s v="1"/>
    <s v="GBP"/>
    <s v="GBP"/>
    <n v="17494.0162"/>
  </r>
  <r>
    <x v="2"/>
    <d v="2019-06-12T00:00:00.000"/>
    <s v="3000292"/>
    <s v="000119"/>
    <s v="Confirmed"/>
    <s v="N"/>
    <x v="6"/>
    <d v="2019-06-12T00:00:00.000"/>
    <d v="1899-12-30T09:52:55.000"/>
    <d v="2019-06-14T00:00:00.000"/>
    <s v="EQ"/>
    <m/>
    <s v="B0MT3Y9"/>
    <s v="GB00B0MT3Y97"/>
    <s v="MATTIOLI ORD"/>
    <s v="N"/>
    <s v="N"/>
    <s v="N/A"/>
    <m/>
    <m/>
    <m/>
    <s v="BUY"/>
    <n v="5550"/>
    <n v="5550"/>
    <s v="8.1"/>
    <s v="44955"/>
    <s v="45045.91"/>
    <s v="89.91"/>
    <s v="0"/>
    <s v="1"/>
    <s v="GBP"/>
    <s v="GBP"/>
    <n v="45045.91"/>
  </r>
  <r>
    <x v="1"/>
    <d v="2019-06-13T00:00:00.000"/>
    <s v="3000290"/>
    <s v="000538"/>
    <s v="Confirmed"/>
    <s v="N"/>
    <x v="6"/>
    <d v="2019-06-12T00:00:00.000"/>
    <d v="1899-12-30T15:33:00.000"/>
    <d v="2019-06-14T00:00:00.000"/>
    <s v="EQ"/>
    <m/>
    <s v="BYX1P35"/>
    <s v="GB00BYX1P358"/>
    <s v="TATTON ASSET M. ORD"/>
    <s v="N"/>
    <s v="N"/>
    <s v="N/A"/>
    <m/>
    <m/>
    <m/>
    <s v="BUY"/>
    <n v="445500"/>
    <n v="445500"/>
    <s v="2.135"/>
    <s v="951142.5"/>
    <s v="953045.785"/>
    <s v="1902.285"/>
    <s v="0"/>
    <s v="1"/>
    <s v="GBP"/>
    <s v="GBP"/>
    <n v="953045.785"/>
  </r>
  <r>
    <x v="1"/>
    <d v="2019-06-13T00:00:00.000"/>
    <s v="3000290"/>
    <s v="000539"/>
    <s v="Confirmed"/>
    <s v="N"/>
    <x v="5"/>
    <d v="2019-06-12T00:00:00.000"/>
    <d v="1899-12-30T11:01:00.000"/>
    <d v="2019-06-14T00:00:00.000"/>
    <s v="EQ"/>
    <m/>
    <s v="B0CM0C5"/>
    <s v="_x0009_GB00B0CM0C50"/>
    <s v="IDEAGEN PLC"/>
    <s v="N"/>
    <s v="N"/>
    <s v="N/A"/>
    <m/>
    <m/>
    <m/>
    <s v="BUY"/>
    <n v="604379"/>
    <n v="604379"/>
    <s v="1.4525"/>
    <s v="877860.4975"/>
    <s v="879617.2185"/>
    <s v="1755.720995"/>
    <s v="0"/>
    <s v="1"/>
    <s v="GBP"/>
    <s v="GBP"/>
    <n v="879617.2185"/>
  </r>
  <r>
    <x v="0"/>
    <d v="2019-06-13T00:00:00.000"/>
    <s v="3000291"/>
    <s v="000474"/>
    <s v="Confirmed"/>
    <s v="N"/>
    <x v="6"/>
    <d v="2019-06-12T00:00:00.000"/>
    <d v="1899-12-30T15:33:00.000"/>
    <d v="2019-06-14T00:00:00.000"/>
    <s v="EQ"/>
    <m/>
    <s v="BYX1P35"/>
    <s v="GB00BYX1P358"/>
    <s v="TATTON ASSET M. ORD"/>
    <s v="N"/>
    <s v="N"/>
    <s v="N/A"/>
    <m/>
    <m/>
    <m/>
    <s v="BUY"/>
    <n v="101750"/>
    <n v="101750"/>
    <s v="2.135"/>
    <s v="217236.25"/>
    <s v="217671.7225"/>
    <s v="434.4725"/>
    <s v="0"/>
    <s v="1"/>
    <s v="GBP"/>
    <s v="GBP"/>
    <n v="217671.7225"/>
  </r>
  <r>
    <x v="0"/>
    <d v="2019-06-13T00:00:00.000"/>
    <s v="3000291"/>
    <s v="000475"/>
    <s v="Confirmed"/>
    <s v="N"/>
    <x v="1"/>
    <d v="2019-06-12T00:00:00.000"/>
    <d v="1899-12-30T13:52:02.000"/>
    <d v="2019-06-14T00:00:00.000"/>
    <s v="EQ"/>
    <m/>
    <s v="BF0HYJ2"/>
    <s v="GB00BF0HYJ24"/>
    <s v="ARENA EVENTS G."/>
    <s v="N"/>
    <s v="N"/>
    <s v="N/A"/>
    <m/>
    <m/>
    <m/>
    <s v="BUY"/>
    <n v="50000"/>
    <n v="50000"/>
    <s v="0.37"/>
    <s v="18500"/>
    <s v="18538"/>
    <s v="37"/>
    <s v="0"/>
    <s v="1"/>
    <s v="GBP"/>
    <s v="GBP"/>
    <n v="18538"/>
  </r>
  <r>
    <x v="2"/>
    <d v="2019-06-13T00:00:00.000"/>
    <s v="3000292"/>
    <s v="000121"/>
    <s v="Confirmed"/>
    <s v="N"/>
    <x v="5"/>
    <d v="2019-06-12T00:00:00.000"/>
    <d v="1899-12-30T11:01:00.000"/>
    <d v="2019-06-14T00:00:00.000"/>
    <s v="EQ"/>
    <m/>
    <s v="B0CM0C5"/>
    <s v="GB00B0CM0C50"/>
    <s v="IDEAGEN PLC"/>
    <s v="N"/>
    <s v="N"/>
    <s v="N/A"/>
    <m/>
    <m/>
    <m/>
    <s v="BUY"/>
    <n v="30621"/>
    <n v="30621"/>
    <s v="1.4525"/>
    <s v="44477.0025"/>
    <s v="44566.9465"/>
    <s v="88.954005"/>
    <s v="0"/>
    <s v="1"/>
    <s v="GBP"/>
    <s v="GBP"/>
    <n v="44566.9465"/>
  </r>
  <r>
    <x v="2"/>
    <d v="2019-06-13T00:00:00.000"/>
    <s v="3000292"/>
    <s v="000122"/>
    <s v="Confirmed"/>
    <s v="N"/>
    <x v="3"/>
    <d v="2019-06-12T00:00:00.000"/>
    <d v="1899-12-30T14:15:58.000"/>
    <d v="2019-06-14T00:00:00.000"/>
    <s v="EQ"/>
    <m/>
    <s v="BN7ZCY6"/>
    <s v="GB00BN7ZCY67"/>
    <s v="ERGOMED ORD"/>
    <s v="N"/>
    <s v="N"/>
    <s v="N/A"/>
    <m/>
    <m/>
    <m/>
    <s v="BUY"/>
    <n v="23100"/>
    <n v="23100"/>
    <s v="2.711342"/>
    <s v="62632.0002"/>
    <s v="62758.2642"/>
    <s v="125.2640004"/>
    <s v="0"/>
    <s v="1"/>
    <s v="GBP"/>
    <s v="GBP"/>
    <n v="62758.2642"/>
  </r>
  <r>
    <x v="2"/>
    <d v="2019-06-13T00:00:00.000"/>
    <s v="3000292"/>
    <s v="000123"/>
    <s v="Confirmed"/>
    <s v="N"/>
    <x v="9"/>
    <d v="2019-06-13T00:00:00.000"/>
    <d v="1899-12-30T10:59:00.000"/>
    <d v="2019-06-17T00:00:00.000"/>
    <s v="EQ"/>
    <m/>
    <s v="0490526"/>
    <s v="GB0004905260"/>
    <s v="IMPAX ASSET MANAGEMENT GROUP PLC"/>
    <s v="N"/>
    <s v="N"/>
    <s v="N/A"/>
    <m/>
    <m/>
    <m/>
    <s v="BUY"/>
    <n v="25000"/>
    <n v="25000"/>
    <s v="2.485"/>
    <s v="62125"/>
    <s v="62250.25"/>
    <s v="124.25"/>
    <s v="0"/>
    <s v="1"/>
    <s v="GBP"/>
    <s v="GBP"/>
    <n v="62250.25"/>
  </r>
  <r>
    <x v="1"/>
    <d v="2019-06-14T00:00:00.000"/>
    <s v="3000290"/>
    <s v="000540"/>
    <s v="Confirmed"/>
    <s v="N"/>
    <x v="5"/>
    <d v="2019-06-13T00:00:00.000"/>
    <d v="1899-12-30T14:32:03.000"/>
    <d v="2019-06-17T00:00:00.000"/>
    <s v="EQ"/>
    <m/>
    <s v="B0CM0C5"/>
    <s v="GB00B0CM0C50"/>
    <s v=" IDEAGEN PLC"/>
    <s v="N"/>
    <s v="N"/>
    <s v="N/A"/>
    <m/>
    <m/>
    <m/>
    <s v="BUY"/>
    <n v="277443"/>
    <n v="277443"/>
    <s v="1.465"/>
    <s v="406453.995"/>
    <s v="407267.913"/>
    <s v="812.90799"/>
    <s v="0"/>
    <s v="1"/>
    <s v="GBP"/>
    <s v="GBP"/>
    <n v="407267.913"/>
  </r>
  <r>
    <x v="2"/>
    <d v="2019-06-14T00:00:00.000"/>
    <s v="3000292"/>
    <s v="000124"/>
    <s v="Confirmed"/>
    <s v="N"/>
    <x v="5"/>
    <d v="2019-06-13T00:00:00.000"/>
    <d v="1899-12-30T14:32:03.000"/>
    <d v="2019-06-17T00:00:00.000"/>
    <s v="EQ"/>
    <m/>
    <s v="B0CM0C5"/>
    <s v="GB00B0CM0C50"/>
    <s v=" IDEAGEN PLC"/>
    <s v="N"/>
    <s v="N"/>
    <s v="N/A"/>
    <m/>
    <m/>
    <m/>
    <s v="BUY"/>
    <n v="14057"/>
    <n v="14057"/>
    <s v="1.465"/>
    <s v="20593.505"/>
    <s v="20635.70201"/>
    <s v="41.18701"/>
    <s v="0"/>
    <s v="1"/>
    <s v="GBP"/>
    <s v="GBP"/>
    <n v="20635.70201"/>
  </r>
  <r>
    <x v="1"/>
    <d v="2019-06-17T00:00:00.000"/>
    <s v="3000290"/>
    <s v="000541"/>
    <s v="Confirmed"/>
    <s v="N"/>
    <x v="6"/>
    <d v="2019-06-12T00:00:00.000"/>
    <d v="1899-12-30T15:33:00.000"/>
    <d v="2019-06-19T00:00:00.000"/>
    <s v="EQ"/>
    <m/>
    <s v="BYX1P35"/>
    <s v="GB00BYX1P358"/>
    <s v="TATTON ASSET M. ORD"/>
    <s v="N"/>
    <s v="N"/>
    <s v="N/A"/>
    <m/>
    <m/>
    <m/>
    <s v="BUY"/>
    <n v="447857"/>
    <n v="447857"/>
    <s v="2.135"/>
    <s v="956174.695"/>
    <s v="958088.0544"/>
    <s v="1912.34939"/>
    <s v="0"/>
    <s v="1"/>
    <s v="GBP"/>
    <s v="GBP"/>
    <n v="958088.0544"/>
  </r>
  <r>
    <x v="1"/>
    <d v="2019-06-17T00:00:00.000"/>
    <s v="3000290"/>
    <s v="000542"/>
    <s v="Confirmed"/>
    <s v="N"/>
    <x v="6"/>
    <d v="2019-06-14T00:00:00.000"/>
    <d v="1899-12-30T14:26:00.000"/>
    <d v="2019-06-18T00:00:00.000"/>
    <s v="EQ"/>
    <m/>
    <s v="BYX1P35"/>
    <s v="GB00BYX1P358"/>
    <s v="TATTON ASSET MANAGEMENT PLC"/>
    <s v="N"/>
    <s v="N"/>
    <s v="N/A"/>
    <m/>
    <m/>
    <m/>
    <s v="BUY"/>
    <n v="53176"/>
    <n v="53176"/>
    <s v="2.16"/>
    <s v="114860.16"/>
    <s v="115090.8903"/>
    <s v="229.72032"/>
    <s v="0"/>
    <s v="1"/>
    <s v="GBP"/>
    <s v="GBP"/>
    <n v="115090.8903"/>
  </r>
  <r>
    <x v="1"/>
    <d v="2019-06-17T00:00:00.000"/>
    <s v="3000290"/>
    <s v="000543"/>
    <s v="Confirmed"/>
    <s v="N"/>
    <x v="4"/>
    <d v="2019-06-14T00:00:00.000"/>
    <d v="1899-12-30T12:30:00.000"/>
    <d v="2019-06-18T00:00:00.000"/>
    <s v="EQ"/>
    <m/>
    <s v="B0CM0C5"/>
    <s v="GB00B0CM0C50"/>
    <s v="IDEAGEN PLC"/>
    <s v="N"/>
    <s v="N"/>
    <s v="N/A"/>
    <m/>
    <m/>
    <m/>
    <s v="BUY"/>
    <n v="95178"/>
    <n v="95178"/>
    <s v="1.465"/>
    <s v="139435.77"/>
    <s v="139715.6415"/>
    <s v="278.87154"/>
    <s v="0"/>
    <s v="1"/>
    <s v="GBP"/>
    <s v="GBP"/>
    <n v="139715.6415"/>
  </r>
  <r>
    <x v="0"/>
    <d v="2019-06-17T00:00:00.000"/>
    <s v="3000291"/>
    <s v="000478"/>
    <s v="Confirmed"/>
    <s v="N"/>
    <x v="6"/>
    <d v="2019-06-12T00:00:00.000"/>
    <d v="1899-12-30T15:33:00.000"/>
    <d v="2019-06-19T00:00:00.000"/>
    <s v="EQ"/>
    <m/>
    <s v="BYX1P35"/>
    <s v="GB00BYX1P358"/>
    <s v="TATTON ASSET M. ORD"/>
    <s v="N"/>
    <s v="N"/>
    <s v="N/A"/>
    <m/>
    <m/>
    <m/>
    <s v="BUY"/>
    <n v="102143"/>
    <n v="102143"/>
    <s v="2.135"/>
    <s v="218075.305"/>
    <s v="218512.4556"/>
    <s v="436.15061"/>
    <s v="0"/>
    <s v="1"/>
    <s v="GBP"/>
    <s v="GBP"/>
    <n v="218512.4556"/>
  </r>
  <r>
    <x v="0"/>
    <d v="2019-06-17T00:00:00.000"/>
    <s v="3000291"/>
    <s v="000479"/>
    <s v="Confirmed"/>
    <s v="N"/>
    <x v="6"/>
    <d v="2019-06-14T00:00:00.000"/>
    <d v="1899-12-30T14:26:00.000"/>
    <d v="2019-06-18T00:00:00.000"/>
    <s v="EQ"/>
    <m/>
    <s v="BYX1P35"/>
    <s v="GB00BYX1P358"/>
    <s v="TATTON ASSET MANAGEMENT PLC"/>
    <s v="N"/>
    <s v="N"/>
    <s v="N/A"/>
    <m/>
    <m/>
    <m/>
    <s v="BUY"/>
    <n v="12128"/>
    <n v="12128"/>
    <s v="2.16"/>
    <s v="26196.48"/>
    <s v="26249.87296"/>
    <s v="52.39296"/>
    <s v="0"/>
    <s v="1"/>
    <s v="GBP"/>
    <s v="GBP"/>
    <n v="26249.87296"/>
  </r>
  <r>
    <x v="0"/>
    <d v="2019-06-17T00:00:00.000"/>
    <s v="3000291"/>
    <s v="000480"/>
    <s v="Confirmed"/>
    <s v="N"/>
    <x v="1"/>
    <d v="2019-06-14T00:00:00.000"/>
    <d v="1899-12-30T14:42:24.000"/>
    <d v="2019-06-18T00:00:00.000"/>
    <s v="EQ"/>
    <m/>
    <s v="BF0HYJ2"/>
    <s v="GB00BF0HYJ24"/>
    <s v="ARENA EVENTS GROUP PLC"/>
    <s v="N"/>
    <s v="N"/>
    <s v="N/A"/>
    <m/>
    <m/>
    <m/>
    <s v="BUY"/>
    <n v="100000"/>
    <n v="100000"/>
    <s v="0.38"/>
    <s v="38000"/>
    <s v="38077"/>
    <s v="76"/>
    <s v="0"/>
    <s v="1"/>
    <s v="GBP"/>
    <s v="GBP"/>
    <n v="38077"/>
  </r>
  <r>
    <x v="0"/>
    <d v="2019-06-17T00:00:00.000"/>
    <s v="3000291"/>
    <s v="000481"/>
    <s v="Confirmed"/>
    <s v="N"/>
    <x v="3"/>
    <d v="2019-06-14T00:00:00.000"/>
    <d v="1899-12-30T14:59:02.000"/>
    <d v="2019-06-18T00:00:00.000"/>
    <s v="EQ"/>
    <m/>
    <s v="BFYF629"/>
    <s v="GB00BFYF6298"/>
    <s v="KNIGHTS GROUP HOLDINGS PLC"/>
    <s v="N"/>
    <s v="N"/>
    <s v="N/A"/>
    <m/>
    <m/>
    <m/>
    <s v="SELL"/>
    <n v="32173"/>
    <n v="32173"/>
    <s v="2.83"/>
    <s v="91049.59"/>
    <s v="91048.59"/>
    <s v="0"/>
    <s v="0"/>
    <s v="1"/>
    <s v="GBP"/>
    <s v="GBP"/>
    <n v="91048.59"/>
  </r>
  <r>
    <x v="2"/>
    <d v="2019-06-17T00:00:00.000"/>
    <s v="3000292"/>
    <s v="000125"/>
    <s v="Confirmed"/>
    <s v="N"/>
    <x v="3"/>
    <d v="2019-06-14T00:00:00.000"/>
    <d v="1899-12-30T14:59:02.000"/>
    <d v="2019-06-18T00:00:00.000"/>
    <s v="EQ"/>
    <m/>
    <s v="BFYF629"/>
    <s v="GB00BFYF6298"/>
    <s v="KNIGHTS GROUP HOLDINGS PLC"/>
    <s v="N"/>
    <s v="N"/>
    <s v="N/A"/>
    <m/>
    <m/>
    <m/>
    <s v="BUY"/>
    <n v="32173"/>
    <n v="32173"/>
    <s v="2.83"/>
    <s v="91049.59"/>
    <s v="91050.59"/>
    <s v="0"/>
    <s v="0"/>
    <s v="1"/>
    <s v="GBP"/>
    <s v="GBP"/>
    <n v="91050.59"/>
  </r>
  <r>
    <x v="1"/>
    <d v="2019-06-18T00:00:00.000"/>
    <s v="3000290"/>
    <s v="000544"/>
    <s v="Confirmed"/>
    <s v="N"/>
    <x v="12"/>
    <d v="2019-06-17T00:00:00.000"/>
    <d v="1899-12-30T14:38:05.000"/>
    <d v="2019-06-19T00:00:00.000"/>
    <s v="EQ"/>
    <m/>
    <s v="B196F55"/>
    <s v="GB00B196F554"/>
    <s v="AVATION PLC"/>
    <s v="N"/>
    <s v="N"/>
    <s v="N/A"/>
    <m/>
    <m/>
    <m/>
    <s v="SELL"/>
    <n v="270000"/>
    <n v="270000"/>
    <s v="2.745"/>
    <s v="741150"/>
    <s v="739666.7"/>
    <s v="1482.3"/>
    <s v="0"/>
    <s v="1"/>
    <s v="GBP"/>
    <s v="GBP"/>
    <n v="739666.7"/>
  </r>
  <r>
    <x v="0"/>
    <d v="2019-06-19T00:00:00.000"/>
    <s v="3000291"/>
    <s v="000484"/>
    <s v="Confirmed"/>
    <s v="N"/>
    <x v="1"/>
    <d v="2019-06-18T00:00:00.000"/>
    <d v="1899-12-30T15:32:39.000"/>
    <d v="2019-06-20T00:00:00.000"/>
    <s v="EQ"/>
    <m/>
    <s v="BF0HYJ2"/>
    <s v="GB00BF0HYJ24"/>
    <s v="ARENA EVENTS GROUP PLC"/>
    <s v="N"/>
    <s v="N"/>
    <s v="N/A"/>
    <m/>
    <m/>
    <m/>
    <s v="BUY"/>
    <n v="100000"/>
    <n v="100000"/>
    <s v="0.3775"/>
    <s v="37750"/>
    <s v="37826.5"/>
    <s v="75.5"/>
    <s v="0"/>
    <s v="1"/>
    <s v="GBP"/>
    <s v="GBP"/>
    <n v="37826.5"/>
  </r>
  <r>
    <x v="1"/>
    <d v="2019-06-20T00:00:00.000"/>
    <s v="3000290"/>
    <s v="000545"/>
    <s v="Confirmed"/>
    <s v="N"/>
    <x v="12"/>
    <d v="2019-06-19T00:00:00.000"/>
    <d v="1899-12-30T14:20:12.000"/>
    <d v="2019-06-21T00:00:00.000"/>
    <s v="EQ"/>
    <m/>
    <s v="0490526"/>
    <s v="GB0004905260"/>
    <s v="IMPAX ASSET MANAGEMENT GROUP PLC"/>
    <s v="N"/>
    <s v="N"/>
    <s v="N/A"/>
    <m/>
    <m/>
    <m/>
    <s v="SELL"/>
    <n v="33000"/>
    <n v="33000"/>
    <s v="2.88"/>
    <s v="95040"/>
    <s v="94848.92"/>
    <s v="190.08"/>
    <s v="0"/>
    <s v="1"/>
    <s v="GBP"/>
    <s v="GBP"/>
    <n v="94848.92"/>
  </r>
  <r>
    <x v="0"/>
    <d v="2019-06-20T00:00:00.000"/>
    <s v="3000291"/>
    <s v="000486"/>
    <s v="Confirmed"/>
    <s v="N"/>
    <x v="2"/>
    <d v="2019-06-19T00:00:00.000"/>
    <d v="1899-12-30T11:06:00.000"/>
    <d v="2019-06-21T00:00:00.000"/>
    <s v="EQ"/>
    <m/>
    <s v="BF0HYJ2"/>
    <s v="GB00BF0HYJ24"/>
    <s v="ARENA EVENTS GROUP PLC"/>
    <s v="N"/>
    <s v="N"/>
    <s v="N/A"/>
    <m/>
    <m/>
    <m/>
    <s v="BUY"/>
    <n v="124000"/>
    <n v="124000"/>
    <s v="0.375"/>
    <s v="46500"/>
    <s v="46594"/>
    <s v="93"/>
    <s v="0"/>
    <s v="1"/>
    <s v="GBP"/>
    <s v="GBP"/>
    <n v="46594"/>
  </r>
  <r>
    <x v="2"/>
    <d v="2019-06-20T00:00:00.000"/>
    <s v="3000292"/>
    <s v="000135"/>
    <s v="Confirmed"/>
    <s v="N"/>
    <x v="9"/>
    <d v="2019-06-20T00:00:00.000"/>
    <d v="1899-12-30T09:24:50.000"/>
    <d v="2019-06-24T00:00:00.000"/>
    <s v="EQ"/>
    <m/>
    <s v="0687061"/>
    <s v="GB0006870611"/>
    <s v="GB GROUP PLC"/>
    <s v="N"/>
    <s v="N"/>
    <s v="N/A"/>
    <m/>
    <m/>
    <m/>
    <s v="BUY"/>
    <n v="3000"/>
    <n v="3000"/>
    <s v="5.33"/>
    <s v="15990"/>
    <s v="16022.98"/>
    <s v="31.98"/>
    <s v="0"/>
    <s v="1"/>
    <s v="GBP"/>
    <s v="GBP"/>
    <n v="16022.98"/>
  </r>
  <r>
    <x v="0"/>
    <d v="2019-06-21T00:00:00.000"/>
    <s v="3000291"/>
    <s v="000488"/>
    <s v="Confirmed"/>
    <s v="N"/>
    <x v="3"/>
    <d v="2019-06-20T00:00:00.000"/>
    <m/>
    <d v="2019-06-24T00:00:00.000"/>
    <s v="EQ"/>
    <m/>
    <s v="BFYF629"/>
    <s v="_x0009_GB00BFYF6298"/>
    <s v="KNIGHTS GROUP HOLDINGS PLC"/>
    <s v="N"/>
    <s v="N"/>
    <s v="N/A"/>
    <m/>
    <m/>
    <m/>
    <s v="SELL"/>
    <n v="58000"/>
    <n v="58000"/>
    <s v="2.8"/>
    <s v="162400"/>
    <s v="162074.2"/>
    <s v="324.8"/>
    <s v="0"/>
    <s v="1"/>
    <s v="GBP"/>
    <s v="GBP"/>
    <n v="162074.2"/>
  </r>
  <r>
    <x v="2"/>
    <d v="2019-06-21T00:00:00.000"/>
    <s v="3000292"/>
    <s v="000136"/>
    <s v="Confirmed"/>
    <s v="N"/>
    <x v="3"/>
    <d v="2019-06-20T00:00:00.000"/>
    <d v="1899-12-30T16:20:26.000"/>
    <d v="2019-06-24T00:00:00.000"/>
    <s v="EQ"/>
    <m/>
    <s v="3002605"/>
    <s v="GB0030026057"/>
    <s v="NEXT FIFTEEN COMMUNICATIONS GROUP PLC"/>
    <s v="N"/>
    <s v="N"/>
    <s v="N/A"/>
    <m/>
    <m/>
    <m/>
    <s v="BUY"/>
    <n v="4409"/>
    <n v="4409"/>
    <s v="6.103517"/>
    <s v="26910.40645"/>
    <s v="26965.22727"/>
    <s v="53.82081291"/>
    <s v="0"/>
    <s v="1"/>
    <s v="GBP"/>
    <s v="GBP"/>
    <n v="26965.22727"/>
  </r>
  <r>
    <x v="1"/>
    <d v="2019-06-25T00:00:00.000"/>
    <s v="3000290"/>
    <s v="000548"/>
    <s v="Confirmed"/>
    <s v="N"/>
    <x v="12"/>
    <d v="2019-06-24T00:00:00.000"/>
    <d v="1899-12-30T16:31:46.000"/>
    <d v="2019-06-26T00:00:00.000"/>
    <s v="EQ"/>
    <m/>
    <s v="0490526"/>
    <s v="GB0004905260"/>
    <s v="IMPAX ASSET MANAGEMENT GROUP PLC"/>
    <s v="N"/>
    <s v="N"/>
    <s v="N/A"/>
    <m/>
    <m/>
    <m/>
    <s v="SELL"/>
    <n v="5000"/>
    <n v="5000"/>
    <s v="2.85"/>
    <s v="14250"/>
    <s v="14220.5"/>
    <s v="28.5"/>
    <s v="0"/>
    <s v="1"/>
    <s v="GBP"/>
    <s v="GBP"/>
    <n v="14220.5"/>
  </r>
  <r>
    <x v="1"/>
    <d v="2019-06-27T00:00:00.000"/>
    <s v="3000290"/>
    <s v="000549"/>
    <s v="Confirmed"/>
    <s v="N"/>
    <x v="12"/>
    <d v="2019-06-26T00:00:00.000"/>
    <d v="1899-12-30T14:59:15.000"/>
    <d v="2019-06-28T00:00:00.000"/>
    <s v="EQ"/>
    <m/>
    <s v="0490526"/>
    <s v="GB0004905260"/>
    <s v="IMPAX ASSET MANAGEMENT GROUP PLC"/>
    <s v="N"/>
    <s v="N"/>
    <s v="N/A"/>
    <m/>
    <m/>
    <m/>
    <s v="SELL"/>
    <n v="10000"/>
    <n v="10000"/>
    <s v="2.8"/>
    <s v="28000"/>
    <s v="27943"/>
    <s v="56"/>
    <s v="0"/>
    <s v="1"/>
    <s v="GBP"/>
    <s v="GBP"/>
    <n v="27943"/>
  </r>
  <r>
    <x v="1"/>
    <d v="2019-06-27T00:00:00.000"/>
    <s v="3000290"/>
    <s v="000550"/>
    <s v="Confirmed"/>
    <s v="N"/>
    <x v="12"/>
    <d v="2019-06-26T00:00:00.000"/>
    <d v="1899-12-30T16:34:34.000"/>
    <d v="2019-06-28T00:00:00.000"/>
    <s v="EQ"/>
    <m/>
    <s v="0490526"/>
    <s v="GB0004905260"/>
    <s v="IMPAX ASSET MANAGEMENT GROUP PLC"/>
    <s v="N"/>
    <s v="N"/>
    <s v="N/A"/>
    <m/>
    <m/>
    <m/>
    <s v="SELL"/>
    <n v="10000"/>
    <n v="10000"/>
    <s v="2.8"/>
    <s v="28000"/>
    <s v="27943"/>
    <s v="56"/>
    <s v="0"/>
    <s v="1"/>
    <s v="GBP"/>
    <s v="GBP"/>
    <n v="27943"/>
  </r>
  <r>
    <x v="1"/>
    <d v="2019-06-27T00:00:00.000"/>
    <s v="3000290"/>
    <s v="000553"/>
    <s v="Confirmed"/>
    <s v="N"/>
    <x v="12"/>
    <d v="2019-06-27T00:00:00.000"/>
    <d v="1899-12-30T09:36:23.000"/>
    <d v="2019-07-01T00:00:00.000"/>
    <s v="EQ"/>
    <m/>
    <s v="B3DG931"/>
    <s v="JE00B3DG9318"/>
    <s v="TARSUS GROUP PLC"/>
    <s v="N"/>
    <s v="N"/>
    <s v="N/A"/>
    <m/>
    <m/>
    <m/>
    <s v="SELL"/>
    <n v="1502048"/>
    <n v="1502048"/>
    <s v="4.27"/>
    <s v="6413744.96"/>
    <s v="6400916.47"/>
    <s v="12827.48992"/>
    <s v="0"/>
    <s v="1"/>
    <s v="GBP"/>
    <s v="GBP"/>
    <n v="6400916.47"/>
  </r>
  <r>
    <x v="0"/>
    <d v="2019-06-27T00:00:00.000"/>
    <s v="3000291"/>
    <s v="000493"/>
    <s v="Confirmed"/>
    <s v="N"/>
    <x v="12"/>
    <d v="2019-06-27T00:00:00.000"/>
    <d v="1899-12-30T09:36:23.000"/>
    <d v="2019-07-01T00:00:00.000"/>
    <s v="EQ"/>
    <m/>
    <s v="B3DG931"/>
    <s v="JE00B3DG9318"/>
    <s v="TARSUS GROUP PLC"/>
    <s v="N"/>
    <s v="N"/>
    <s v="N/A"/>
    <m/>
    <m/>
    <m/>
    <s v="SELL"/>
    <n v="312633"/>
    <n v="312633"/>
    <s v="4.27"/>
    <s v="1334942.91"/>
    <s v="1332272.024"/>
    <s v="2669.88582"/>
    <s v="0"/>
    <s v="1"/>
    <s v="GBP"/>
    <s v="GBP"/>
    <n v="1332272.024"/>
  </r>
  <r>
    <x v="2"/>
    <d v="2019-06-27T00:00:00.000"/>
    <s v="3000292"/>
    <s v="000139"/>
    <s v="Confirmed"/>
    <s v="N"/>
    <x v="12"/>
    <d v="2019-06-27T00:00:00.000"/>
    <d v="1899-12-30T09:36:23.000"/>
    <d v="2019-07-01T00:00:00.000"/>
    <s v="EQ"/>
    <m/>
    <s v="B3DG931"/>
    <s v="JE00B3DG9318"/>
    <s v="TARSUS GROUP PLC"/>
    <s v="N"/>
    <s v="N"/>
    <s v="N/A"/>
    <m/>
    <m/>
    <m/>
    <s v="SELL"/>
    <n v="8500"/>
    <n v="8500"/>
    <s v="4.27"/>
    <s v="36295"/>
    <s v="36221.41"/>
    <s v="72.59"/>
    <s v="0"/>
    <s v="1"/>
    <s v="GBP"/>
    <s v="GBP"/>
    <n v="36221.41"/>
  </r>
  <r>
    <x v="0"/>
    <d v="2019-06-28T00:00:00.000"/>
    <s v="3000291"/>
    <s v="000494"/>
    <s v="Confirmed"/>
    <s v="N"/>
    <x v="7"/>
    <d v="2019-06-28T00:00:00.000"/>
    <d v="1899-12-30T10:42:00.000"/>
    <d v="2019-07-02T00:00:00.000"/>
    <s v="EQ"/>
    <m/>
    <s v="B64NSP7"/>
    <s v="GB00B64NSP76"/>
    <s v="COSTAIN GROUP PLC"/>
    <s v="N"/>
    <s v="N"/>
    <s v="N/A"/>
    <m/>
    <m/>
    <m/>
    <s v="SELL"/>
    <n v="215758"/>
    <n v="215758"/>
    <s v="1.903379"/>
    <s v="410669.2463"/>
    <s v="409846.9078"/>
    <s v="821.3384926"/>
    <s v="0"/>
    <s v="1"/>
    <s v="GBP"/>
    <s v="GBP"/>
    <n v="409846.9078"/>
  </r>
  <r>
    <x v="2"/>
    <d v="2019-06-28T00:00:00.000"/>
    <s v="3000292"/>
    <s v="000141"/>
    <s v="Confirmed"/>
    <s v="N"/>
    <x v="7"/>
    <d v="2019-06-28T00:00:00.000"/>
    <d v="1899-12-30T10:42:00.000"/>
    <d v="2019-07-02T00:00:00.000"/>
    <s v="EQ"/>
    <m/>
    <s v="B64NSP7"/>
    <s v="GB00B64NSP76"/>
    <s v="COSTAIN GROUP PLC"/>
    <s v="N"/>
    <s v="N"/>
    <s v="N/A"/>
    <m/>
    <m/>
    <m/>
    <s v="SELL"/>
    <n v="19422"/>
    <n v="19422"/>
    <s v="1.903379"/>
    <s v="36967.42694"/>
    <s v="36892.50208"/>
    <s v="73.93485388"/>
    <s v="0"/>
    <s v="1"/>
    <s v="GBP"/>
    <s v="GBP"/>
    <n v="36892.50208"/>
  </r>
  <r>
    <x v="0"/>
    <d v="2019-06-26T00:00:00.000"/>
    <s v="3000291"/>
    <s v="000490"/>
    <s v="Confirmed"/>
    <s v="N"/>
    <x v="3"/>
    <d v="2019-06-25T00:00:00.000"/>
    <d v="1899-12-30T13:29:40.000"/>
    <d v="2019-06-27T00:00:00.000"/>
    <s v="EQ"/>
    <m/>
    <s v="BFYF629"/>
    <s v="GB00BFYF6298"/>
    <s v="KNIGHTS GROUP HOLDINGS PLC"/>
    <s v="N"/>
    <s v="N"/>
    <s v="N"/>
    <m/>
    <m/>
    <m/>
    <s v="SELL"/>
    <n v="17430"/>
    <n v="17430"/>
    <s v="2.8"/>
    <s v="48804"/>
    <s v="48705.392"/>
    <s v="97.608"/>
    <s v="0"/>
    <s v="1"/>
    <s v="GBP"/>
    <s v="GBP"/>
    <n v="48705.392"/>
  </r>
  <r>
    <x v="0"/>
    <d v="2019-06-26T00:00:00.000"/>
    <s v="3000291"/>
    <s v="000491"/>
    <s v="Confirmed"/>
    <s v="N"/>
    <x v="3"/>
    <d v="2019-06-26T00:00:00.000"/>
    <d v="1899-12-30T08:31:31.000"/>
    <d v="2019-06-28T00:00:00.000"/>
    <s v="EQ"/>
    <m/>
    <s v="BFYF629"/>
    <s v="GB00BFYF6298"/>
    <s v="KNIGHTS GROUP HOLDINGS PLC"/>
    <s v="N"/>
    <s v="N"/>
    <s v="N"/>
    <m/>
    <m/>
    <m/>
    <s v="SELL"/>
    <n v="108739"/>
    <n v="108739"/>
    <s v="2.75"/>
    <s v="299032.25"/>
    <s v="298433.1855"/>
    <s v="598.0645"/>
    <s v="0"/>
    <s v="1"/>
    <s v="GBP"/>
    <s v="GBP"/>
    <n v="298433.1855"/>
  </r>
  <r>
    <x v="0"/>
    <d v="2019-05-31T00:00:00.000"/>
    <s v="3000291"/>
    <s v="000451"/>
    <s v="Confirmed"/>
    <s v="N"/>
    <x v="3"/>
    <d v="2019-05-31T00:00:00.000"/>
    <d v="1899-12-30T08:53:00.000"/>
    <d v="2019-06-04T00:00:00.000"/>
    <s v="EQ"/>
    <m/>
    <s v="0176581"/>
    <s v="GB0001765816"/>
    <s v="BREWIN DOLPHIN HOLDINGS PLC"/>
    <s v="N"/>
    <s v="N"/>
    <s v="N/A"/>
    <m/>
    <m/>
    <m/>
    <s v="BUY"/>
    <n v="29600"/>
    <n v="29600"/>
    <s v="3.059986"/>
    <s v="90575.5856"/>
    <s v="91211.51677"/>
    <s v="181.1511712"/>
    <s v="0"/>
    <s v="454.78"/>
    <s v="GBP"/>
    <s v="GBP"/>
    <n v="91211.51677"/>
  </r>
  <r>
    <x v="0"/>
    <d v="2019-05-31T00:00:00.000"/>
    <s v="3000291"/>
    <s v="000452"/>
    <s v="Confirmed"/>
    <s v="N"/>
    <x v="3"/>
    <d v="2019-05-31T00:00:00.000"/>
    <d v="1899-12-30T09:12:53.000"/>
    <d v="2019-06-04T00:00:00.000"/>
    <s v="EQ"/>
    <m/>
    <s v="BYYJL41"/>
    <s v="GB00BYYJL418"/>
    <s v="NORCROS PLC"/>
    <s v="N"/>
    <s v="N"/>
    <s v="N/A"/>
    <m/>
    <m/>
    <m/>
    <s v="BUY"/>
    <n v="49000"/>
    <n v="49000"/>
    <s v="1.96"/>
    <s v="96040"/>
    <s v="96714.24"/>
    <s v="192.08"/>
    <s v="0"/>
    <s v="482.16"/>
    <s v="GBP"/>
    <s v="GBP"/>
    <n v="96714.24"/>
  </r>
  <r>
    <x v="0"/>
    <d v="2019-05-31T00:00:00.000"/>
    <s v="3000291"/>
    <s v="000453"/>
    <s v="Confirmed"/>
    <s v="N"/>
    <x v="3"/>
    <d v="2019-05-31T00:00:00.000"/>
    <d v="1899-12-30T08:30:20.000"/>
    <d v="2019-06-04T00:00:00.000"/>
    <s v="EQ"/>
    <m/>
    <s v="BYWVDP4"/>
    <s v="GB00BYWVDP49"/>
    <s v="SABRE INSURANCE GROUP PLC"/>
    <s v="N"/>
    <s v="N"/>
    <s v="N/A"/>
    <m/>
    <m/>
    <m/>
    <s v="BUY"/>
    <n v="44000"/>
    <n v="44000"/>
    <s v="2.61"/>
    <s v="114840"/>
    <s v="115646.03"/>
    <s v="229.68"/>
    <s v="0"/>
    <s v="576.35"/>
    <s v="GBP"/>
    <s v="GBP"/>
    <n v="115646.03"/>
  </r>
  <r>
    <x v="0"/>
    <d v="2019-05-31T00:00:00.000"/>
    <s v="3000291"/>
    <s v="000455"/>
    <s v="Confirmed"/>
    <s v="N"/>
    <x v="3"/>
    <d v="2019-05-31T00:00:00.000"/>
    <d v="1899-12-30T08:53:58.000"/>
    <d v="2019-06-04T00:00:00.000"/>
    <s v="EQ"/>
    <m/>
    <s v="BMTRW10"/>
    <s v="LU1072616219"/>
    <s v="B&amp;M EUROPEAN VALUE RETAIL S.A."/>
    <s v="N"/>
    <s v="N"/>
    <s v="N/A"/>
    <m/>
    <m/>
    <m/>
    <s v="BUY"/>
    <n v="61000"/>
    <n v="61000"/>
    <s v="3.522"/>
    <s v="214842"/>
    <s v="215056.842"/>
    <s v="214.842"/>
    <s v="0"/>
    <s v="0"/>
    <s v="GBP"/>
    <s v="GBP"/>
    <n v="215056.842"/>
  </r>
  <r>
    <x v="0"/>
    <d v="2019-05-31T00:00:00.000"/>
    <s v="3000291"/>
    <s v="000456"/>
    <s v="Confirmed"/>
    <s v="N"/>
    <x v="3"/>
    <d v="2019-05-31T00:00:00.000"/>
    <d v="1899-12-30T10:13:28.000"/>
    <d v="2019-06-04T00:00:00.000"/>
    <s v="EQ"/>
    <m/>
    <s v="BMMV6B7"/>
    <s v="GB00BMMV6B79"/>
    <s v="CLIPPER LOGISTICS PLC"/>
    <s v="N"/>
    <s v="N"/>
    <s v="N/A"/>
    <m/>
    <m/>
    <m/>
    <s v="BUY"/>
    <n v="24500"/>
    <n v="24500"/>
    <s v="2.8"/>
    <s v="68600"/>
    <s v="69081.89"/>
    <s v="137.2"/>
    <s v="0"/>
    <s v="344.69"/>
    <s v="GBP"/>
    <s v="GBP"/>
    <n v="69081.89"/>
  </r>
  <r>
    <x v="0"/>
    <d v="2019-05-31T00:00:00.000"/>
    <s v="3000291"/>
    <s v="000458"/>
    <s v="Confirmed"/>
    <s v="N"/>
    <x v="7"/>
    <d v="2019-05-31T00:00:00.000"/>
    <d v="1899-12-30T10:52:00.000"/>
    <d v="2019-06-04T00:00:00.000"/>
    <s v="EQ"/>
    <m/>
    <s v="B64NSP7"/>
    <s v="GB00B64NSP76"/>
    <s v="COSTAIN GROUP PLC"/>
    <s v="N"/>
    <s v="N"/>
    <s v="N/A"/>
    <m/>
    <m/>
    <m/>
    <s v="BUY"/>
    <n v="39000"/>
    <n v="39000"/>
    <s v="3.18"/>
    <s v="124020"/>
    <s v="124890.38"/>
    <s v="248.04"/>
    <s v="0"/>
    <s v="622.34"/>
    <s v="GBP"/>
    <s v="GBP"/>
    <n v="124890.38"/>
  </r>
  <r>
    <x v="0"/>
    <d v="2019-05-31T00:00:00.000"/>
    <s v="3000291"/>
    <s v="000460"/>
    <s v="Confirmed"/>
    <s v="N"/>
    <x v="7"/>
    <d v="2019-05-31T00:00:00.000"/>
    <d v="1899-12-30T10:49:00.000"/>
    <d v="2019-06-04T00:00:00.000"/>
    <s v="EQ"/>
    <m/>
    <s v="BDDN1T2"/>
    <s v="GB00BDDN1T20"/>
    <s v="XPS PENSIONS GROUP PLC"/>
    <s v="N"/>
    <s v="N"/>
    <s v="N/A"/>
    <m/>
    <m/>
    <m/>
    <s v="BUY"/>
    <n v="33153"/>
    <n v="33153"/>
    <s v="1.55"/>
    <s v="51387.15"/>
    <s v="51748.3743"/>
    <s v="102.7743"/>
    <s v="0"/>
    <s v="258.45"/>
    <s v="GBP"/>
    <s v="GBP"/>
    <n v="51748.3743"/>
  </r>
  <r>
    <x v="0"/>
    <d v="2019-05-31T00:00:00.000"/>
    <s v="3000291"/>
    <s v="000461"/>
    <s v="Confirmed"/>
    <s v="N"/>
    <x v="3"/>
    <d v="2019-05-31T00:00:00.000"/>
    <d v="1899-12-30T10:49:25.000"/>
    <d v="2019-06-04T00:00:00.000"/>
    <s v="EQ"/>
    <m/>
    <s v="BF020D3"/>
    <s v="GB00BF020D33"/>
    <s v="TEN ENTERTAINMENT GROUP PLC"/>
    <s v="N"/>
    <s v="N"/>
    <s v="N/A"/>
    <m/>
    <m/>
    <m/>
    <s v="BUY"/>
    <n v="64000"/>
    <n v="64000"/>
    <s v="2.275"/>
    <s v="145600"/>
    <s v="146621.66"/>
    <s v="291.2"/>
    <s v="0"/>
    <s v="730.46"/>
    <s v="GBP"/>
    <s v="GBP"/>
    <n v="146621.66"/>
  </r>
  <r>
    <x v="0"/>
    <d v="2019-05-31T00:00:00.000"/>
    <s v="3000291"/>
    <s v="000462"/>
    <s v="Confirmed"/>
    <s v="N"/>
    <x v="13"/>
    <d v="2019-05-31T00:00:00.000"/>
    <d v="1899-12-30T08:48:00.000"/>
    <d v="2019-06-04T00:00:00.000"/>
    <s v="EQ"/>
    <m/>
    <s v="0929666"/>
    <s v="GB0009296665"/>
    <s v="VITEC GROUP PLC (THE)"/>
    <s v="N"/>
    <s v="N"/>
    <s v="N/A"/>
    <m/>
    <m/>
    <m/>
    <s v="BUY"/>
    <n v="10500"/>
    <n v="10500"/>
    <s v="11.25"/>
    <s v="118125"/>
    <s v="118954.06"/>
    <s v="236.25"/>
    <s v="0"/>
    <s v="592.81"/>
    <s v="GBP"/>
    <s v="GBP"/>
    <n v="118954.06"/>
  </r>
  <r>
    <x v="0"/>
    <d v="2019-06-03T00:00:00.000"/>
    <s v="3000291"/>
    <s v="000463"/>
    <s v="Confirmed"/>
    <s v="N"/>
    <x v="7"/>
    <d v="2019-05-31T00:00:00.000"/>
    <d v="1899-12-30T11:11:00.000"/>
    <d v="2019-06-04T00:00:00.000"/>
    <s v="EQ"/>
    <m/>
    <s v="BDDN1T2"/>
    <s v="GB00BDDN1T20"/>
    <s v="XPS PENSIONS GROUP PLC"/>
    <s v="N"/>
    <s v="N"/>
    <s v="N/A"/>
    <m/>
    <m/>
    <m/>
    <s v="BUY"/>
    <n v="173847"/>
    <n v="173847"/>
    <s v="1.55"/>
    <s v="269462.85"/>
    <s v="271352.7857"/>
    <s v="538.9257"/>
    <s v="0"/>
    <s v="1351.01"/>
    <s v="GBP"/>
    <s v="GBP"/>
    <n v="271352.7857"/>
  </r>
  <r>
    <x v="0"/>
    <d v="2019-06-03T00:00:00.000"/>
    <s v="3000291"/>
    <s v="000464"/>
    <s v="Confirmed"/>
    <s v="N"/>
    <x v="3"/>
    <d v="2019-05-31T00:00:00.000"/>
    <d v="1899-12-30T11:40:13.000"/>
    <d v="2019-06-04T00:00:00.000"/>
    <s v="EQ"/>
    <m/>
    <s v="BYN5913"/>
    <s v="GB00BYN59130"/>
    <s v="DOMINO'S PIZZA GROUP PLC"/>
    <s v="N"/>
    <s v="N"/>
    <s v="N/A"/>
    <m/>
    <m/>
    <m/>
    <s v="BUY"/>
    <n v="47600"/>
    <n v="47600"/>
    <s v="2.327463"/>
    <s v="110787.2388"/>
    <s v="111564.8533"/>
    <s v="221.5744776"/>
    <s v="0"/>
    <s v="556.04"/>
    <s v="GBP"/>
    <s v="GBP"/>
    <n v="111564.8533"/>
  </r>
  <r>
    <x v="2"/>
    <d v="2019-06-05T00:00:00.000"/>
    <s v="3000292"/>
    <s v="000081"/>
    <s v="Confirmed"/>
    <s v="N"/>
    <x v="3"/>
    <d v="2019-06-04T00:00:00.000"/>
    <d v="1899-12-30T14:29:53.000"/>
    <d v="2019-06-06T00:00:00.000"/>
    <s v="EQ"/>
    <m/>
    <s v="BMTRW10"/>
    <s v="LU1072616219"/>
    <s v="B&amp;M EUROPEAN VALUE RETAIL S.A."/>
    <s v="N"/>
    <s v="N"/>
    <s v="N/A"/>
    <m/>
    <m/>
    <m/>
    <s v="BUY"/>
    <n v="4500"/>
    <n v="4500"/>
    <s v="3.528"/>
    <s v="15876"/>
    <s v="15891.876"/>
    <s v="15.876"/>
    <s v="0"/>
    <s v="0"/>
    <s v="GBP"/>
    <s v="GBP"/>
    <n v="15891.876"/>
  </r>
  <r>
    <x v="1"/>
    <d v="2019-06-07T00:00:00.000"/>
    <s v="3000290"/>
    <s v="000534"/>
    <s v="Confirmed"/>
    <s v="N"/>
    <x v="7"/>
    <d v="2019-06-06T00:00:00.000"/>
    <d v="1899-12-30T15:13:00.000"/>
    <d v="2019-06-10T00:00:00.000"/>
    <s v="EQ"/>
    <m/>
    <s v="BF020D3"/>
    <s v="GB00BF020D33"/>
    <s v="TEN ENTERTAINMENT GROUP PLC"/>
    <s v="N"/>
    <s v="N"/>
    <s v="N/A"/>
    <m/>
    <m/>
    <m/>
    <s v="BUY"/>
    <n v="523680"/>
    <n v="523680"/>
    <s v="2.05"/>
    <s v="1073544"/>
    <s v="1081070.538"/>
    <s v="2147.088"/>
    <s v="0"/>
    <s v="5379.46"/>
    <s v="GBP"/>
    <s v="GBP"/>
    <n v="1081070.538"/>
  </r>
  <r>
    <x v="0"/>
    <d v="2019-06-07T00:00:00.000"/>
    <s v="3000291"/>
    <s v="000467"/>
    <s v="Confirmed"/>
    <s v="N"/>
    <x v="7"/>
    <d v="2019-06-06T00:00:00.000"/>
    <d v="1899-12-30T15:13:00.000"/>
    <d v="2019-06-10T00:00:00.000"/>
    <s v="EQ"/>
    <m/>
    <s v="BF020D3"/>
    <s v="GB00BF020D33"/>
    <s v="TEN ENTERTAINMENT GROUP PLC"/>
    <s v="N"/>
    <s v="N"/>
    <s v="N/A"/>
    <m/>
    <m/>
    <m/>
    <s v="BUY"/>
    <n v="79967"/>
    <n v="79967"/>
    <s v="2.05"/>
    <s v="163932.35"/>
    <s v="165082.5147"/>
    <s v="327.8647"/>
    <s v="0"/>
    <s v="822.3"/>
    <s v="GBP"/>
    <s v="GBP"/>
    <n v="165082.5147"/>
  </r>
  <r>
    <x v="0"/>
    <d v="2019-06-07T00:00:00.000"/>
    <s v="3000291"/>
    <s v="000469"/>
    <s v="Confirmed"/>
    <s v="N"/>
    <x v="3"/>
    <d v="2019-06-06T00:00:00.000"/>
    <d v="1899-12-30T15:13:17.000"/>
    <d v="2019-06-10T00:00:00.000"/>
    <s v="EQ"/>
    <m/>
    <s v="0188371"/>
    <s v="GB0001883718"/>
    <s v="CHARLES TAYLOR PLC"/>
    <s v="N"/>
    <s v="N"/>
    <s v="N/A"/>
    <m/>
    <m/>
    <m/>
    <s v="BUY"/>
    <n v="9430"/>
    <n v="9430"/>
    <s v="2.219055"/>
    <s v="20925.68865"/>
    <s v="21073.38003"/>
    <s v="41.8513773"/>
    <s v="0"/>
    <s v="105.84"/>
    <s v="GBP"/>
    <s v="GBP"/>
    <n v="21073.38003"/>
  </r>
  <r>
    <x v="2"/>
    <d v="2019-06-07T00:00:00.000"/>
    <s v="3000292"/>
    <s v="000082"/>
    <s v="Confirmed"/>
    <s v="N"/>
    <x v="7"/>
    <d v="2019-06-06T00:00:00.000"/>
    <d v="1899-12-30T15:13:00.000"/>
    <d v="2019-06-10T00:00:00.000"/>
    <s v="EQ"/>
    <m/>
    <s v="BF020D3"/>
    <s v="GB00BF020D33"/>
    <s v="TEN ENTERTAINMENT GROUP PLC"/>
    <s v="N"/>
    <s v="N"/>
    <s v="N/A"/>
    <m/>
    <m/>
    <m/>
    <s v="BUY"/>
    <n v="1415"/>
    <n v="1415"/>
    <s v="2.05"/>
    <s v="2900.75"/>
    <s v="2921.0815"/>
    <s v="5.8015"/>
    <s v="0"/>
    <s v="14.53"/>
    <s v="GBP"/>
    <s v="GBP"/>
    <n v="2921.0815"/>
  </r>
  <r>
    <x v="2"/>
    <d v="2019-06-11T00:00:00.000"/>
    <s v="3000292"/>
    <m/>
    <s v="Confirmed"/>
    <s v="N"/>
    <x v="3"/>
    <d v="2019-06-10T00:00:00.000"/>
    <d v="1899-12-30T11:25:27.000"/>
    <d v="2019-06-14T00:00:00.000"/>
    <s v="EQ"/>
    <m/>
    <s v="BMTRW10"/>
    <s v="LU1072616219"/>
    <s v="B&amp;M EUROPEAN VALUE RETAIL S.A."/>
    <s v="N"/>
    <s v="N"/>
    <s v="N/A"/>
    <m/>
    <m/>
    <m/>
    <s v="BUY"/>
    <n v="11000"/>
    <n v="11000"/>
    <s v="3.4505"/>
    <s v="37955.5"/>
    <s v="37993.4555"/>
    <s v="37.9555"/>
    <s v="0"/>
    <s v="0"/>
    <s v="GBP"/>
    <s v="GBP"/>
    <n v="37993.4555"/>
  </r>
  <r>
    <x v="2"/>
    <d v="2019-06-11T00:00:00.000"/>
    <s v="3000292"/>
    <m/>
    <s v="Confirmed"/>
    <s v="N"/>
    <x v="3"/>
    <d v="2019-06-10T00:00:00.000"/>
    <d v="1899-12-30T13:13:15.000"/>
    <d v="2019-06-14T00:00:00.000"/>
    <s v="EQ"/>
    <m/>
    <s v="0176581"/>
    <s v="GB0001765816"/>
    <s v="BREWIN DOLPHIN HOLDINGS PLC"/>
    <s v="N"/>
    <s v="N"/>
    <s v="N/A"/>
    <m/>
    <m/>
    <m/>
    <s v="BUY"/>
    <n v="17150"/>
    <n v="17150"/>
    <s v="3.064"/>
    <s v="52547.6"/>
    <s v="52916.9552"/>
    <s v="105.0952"/>
    <s v="0"/>
    <s v="264.26"/>
    <s v="GBP"/>
    <s v="GBP"/>
    <n v="52916.9552"/>
  </r>
  <r>
    <x v="2"/>
    <d v="2019-06-11T00:00:00.000"/>
    <s v="3000292"/>
    <m/>
    <s v="Confirmed"/>
    <s v="N"/>
    <x v="3"/>
    <d v="2019-06-10T00:00:00.000"/>
    <d v="1899-12-30T11:26:22.000"/>
    <d v="2019-06-14T00:00:00.000"/>
    <s v="EQ"/>
    <m/>
    <s v="BMMV6B7"/>
    <s v="GB00BMMV6B79"/>
    <s v="CLIPPER LOGISTICS PLC"/>
    <s v="N"/>
    <s v="N"/>
    <s v="N/A"/>
    <m/>
    <m/>
    <m/>
    <s v="BUY"/>
    <n v="20000"/>
    <n v="20000"/>
    <s v="2.43"/>
    <s v="48600"/>
    <s v="48941.69"/>
    <s v="97.2"/>
    <s v="0"/>
    <s v="244.49"/>
    <s v="GBP"/>
    <s v="GBP"/>
    <n v="48941.69"/>
  </r>
  <r>
    <x v="2"/>
    <d v="2019-06-11T00:00:00.000"/>
    <s v="3000292"/>
    <m/>
    <s v="Confirmed"/>
    <s v="N"/>
    <x v="3"/>
    <d v="2019-06-10T00:00:00.000"/>
    <d v="1899-12-30T13:09:16.000"/>
    <d v="2019-06-14T00:00:00.000"/>
    <s v="EQ"/>
    <m/>
    <s v="B64NSP7"/>
    <s v="GB00B64NSP76"/>
    <s v="COSTAIN GROUP PLC"/>
    <s v="N"/>
    <s v="N"/>
    <s v="N/A"/>
    <m/>
    <m/>
    <m/>
    <s v="BUY"/>
    <n v="173"/>
    <n v="173"/>
    <s v="3.20763"/>
    <s v="554.91999"/>
    <s v="558.80983"/>
    <s v="1.10983998"/>
    <s v="0"/>
    <s v="2.78"/>
    <s v="GBP"/>
    <s v="GBP"/>
    <n v="558.80983"/>
  </r>
  <r>
    <x v="2"/>
    <d v="2019-06-11T00:00:00.000"/>
    <s v="3000292"/>
    <m/>
    <s v="Confirmed"/>
    <s v="N"/>
    <x v="3"/>
    <d v="2019-06-10T00:00:00.000"/>
    <d v="1899-12-30T12:35:19.000"/>
    <d v="2019-06-14T00:00:00.000"/>
    <s v="EQ"/>
    <m/>
    <s v="BYN5913"/>
    <s v="GB00BYN59130"/>
    <s v="DOMINO'S PIZZA GROUP PLC"/>
    <s v="N"/>
    <s v="N"/>
    <s v="N/A"/>
    <m/>
    <m/>
    <m/>
    <s v="BUY"/>
    <n v="23600"/>
    <n v="23600"/>
    <s v="2.4025"/>
    <s v="56699"/>
    <s v="57097.458"/>
    <s v="113.398"/>
    <s v="0"/>
    <s v="285.06"/>
    <s v="GBP"/>
    <s v="GBP"/>
    <n v="57097.458"/>
  </r>
  <r>
    <x v="2"/>
    <d v="2019-06-11T00:00:00.000"/>
    <s v="3000292"/>
    <m/>
    <s v="Confirmed"/>
    <s v="N"/>
    <x v="5"/>
    <d v="2019-06-10T00:00:00.000"/>
    <d v="1899-12-30T15:37:48.000"/>
    <d v="2019-06-14T00:00:00.000"/>
    <s v="EQ"/>
    <m/>
    <s v="0005588"/>
    <s v="GB0000055888"/>
    <s v="DISCOVERIE GROUP PLC"/>
    <s v="N"/>
    <s v="N"/>
    <s v="N/A"/>
    <m/>
    <m/>
    <m/>
    <s v="BUY"/>
    <n v="7950"/>
    <n v="7950"/>
    <s v="4.494951"/>
    <s v="35734.86045"/>
    <s v="35986.00017"/>
    <s v="71.4697209"/>
    <s v="0"/>
    <s v="179.67"/>
    <s v="GBP"/>
    <s v="GBP"/>
    <n v="35986.00017"/>
  </r>
  <r>
    <x v="2"/>
    <d v="2019-06-11T00:00:00.000"/>
    <s v="3000292"/>
    <m/>
    <s v="Confirmed"/>
    <s v="N"/>
    <x v="7"/>
    <d v="2019-06-10T00:00:00.000"/>
    <d v="1899-12-30T11:17:00.000"/>
    <d v="2019-06-14T00:00:00.000"/>
    <s v="EQ"/>
    <m/>
    <s v="0664097"/>
    <s v="GB0006640972"/>
    <s v="4IMPRINT GROUP PLC"/>
    <s v="N"/>
    <s v="N"/>
    <s v="N/A"/>
    <m/>
    <m/>
    <m/>
    <s v="BUY"/>
    <n v="2285"/>
    <n v="2285"/>
    <s v="26.25"/>
    <s v="59981.25"/>
    <s v="60402.7225"/>
    <s v="119.9625"/>
    <s v="0"/>
    <s v="301.51"/>
    <s v="GBP"/>
    <s v="GBP"/>
    <n v="60402.7225"/>
  </r>
  <r>
    <x v="2"/>
    <d v="2019-06-11T00:00:00.000"/>
    <s v="3000292"/>
    <m/>
    <s v="Confirmed"/>
    <s v="N"/>
    <x v="7"/>
    <d v="2019-06-10T00:00:00.000"/>
    <d v="1899-12-30T16:36:00.000"/>
    <d v="2019-06-14T00:00:00.000"/>
    <s v="EQ"/>
    <m/>
    <s v="0371847"/>
    <s v="GB0003718474"/>
    <s v="GAMES WORKSHOP GROUP PLC"/>
    <s v="N"/>
    <s v="N"/>
    <s v="N/A"/>
    <m/>
    <m/>
    <m/>
    <s v="BUY"/>
    <n v="1450"/>
    <n v="1450"/>
    <s v="47.064503"/>
    <s v="68243.52935"/>
    <s v="68722.91641"/>
    <s v="136.4870587"/>
    <s v="0"/>
    <s v="342.9"/>
    <s v="GBP"/>
    <s v="GBP"/>
    <n v="68722.91641"/>
  </r>
  <r>
    <x v="2"/>
    <d v="2019-06-11T00:00:00.000"/>
    <s v="3000292"/>
    <m/>
    <s v="Confirmed"/>
    <s v="N"/>
    <x v="3"/>
    <d v="2019-06-10T00:00:00.000"/>
    <d v="1899-12-30T16:28:35.000"/>
    <d v="2019-06-14T00:00:00.000"/>
    <s v="EQ"/>
    <m/>
    <s v="BZBX0P7"/>
    <s v="GB00BZBX0P70"/>
    <s v="THE GYM GROUP PLC"/>
    <s v="N"/>
    <s v="N"/>
    <s v="N/A"/>
    <m/>
    <m/>
    <m/>
    <s v="BUY"/>
    <n v="6444"/>
    <n v="6444"/>
    <s v="2.422956"/>
    <s v="15613.52846"/>
    <s v="15723.97552"/>
    <s v="31.22705693"/>
    <s v="0"/>
    <s v="79.22"/>
    <s v="GBP"/>
    <s v="GBP"/>
    <n v="15723.97552"/>
  </r>
  <r>
    <x v="2"/>
    <d v="2019-06-11T00:00:00.000"/>
    <s v="3000292"/>
    <m/>
    <s v="Confirmed"/>
    <s v="N"/>
    <x v="3"/>
    <d v="2019-06-10T00:00:00.000"/>
    <d v="1899-12-30T14:59:57.000"/>
    <d v="2019-06-14T00:00:00.000"/>
    <s v="EQ"/>
    <m/>
    <s v="BFYF629"/>
    <s v="GB00BFYF6298"/>
    <s v="KNIGHTS GROUP HOLDINGS PLC"/>
    <s v="N"/>
    <s v="N"/>
    <s v="N/A"/>
    <m/>
    <m/>
    <m/>
    <s v="BUY"/>
    <n v="1477"/>
    <n v="1477"/>
    <s v="2.78"/>
    <s v="4106.06"/>
    <s v="4114.27212"/>
    <s v="8.21212"/>
    <s v="0"/>
    <s v="0"/>
    <s v="GBP"/>
    <s v="GBP"/>
    <n v="4114.27212"/>
  </r>
  <r>
    <x v="2"/>
    <d v="2019-06-11T00:00:00.000"/>
    <s v="3000292"/>
    <m/>
    <s v="Confirmed"/>
    <s v="N"/>
    <x v="3"/>
    <d v="2019-06-10T00:00:00.000"/>
    <d v="1899-12-30T11:38:33.000"/>
    <d v="2019-06-14T00:00:00.000"/>
    <s v="EQ"/>
    <m/>
    <s v="BYYJL41"/>
    <s v="GB00BYYJL418"/>
    <s v="NORCROS PLC"/>
    <s v="N"/>
    <s v="N"/>
    <s v="N/A"/>
    <m/>
    <m/>
    <m/>
    <s v="BUY"/>
    <n v="19000"/>
    <n v="19000"/>
    <s v="1.925"/>
    <s v="36575"/>
    <s v="36832.39"/>
    <s v="73.15"/>
    <s v="0"/>
    <s v="184.24"/>
    <s v="GBP"/>
    <s v="GBP"/>
    <n v="36832.39"/>
  </r>
  <r>
    <x v="2"/>
    <d v="2019-06-11T00:00:00.000"/>
    <s v="3000292"/>
    <m/>
    <s v="Confirmed"/>
    <s v="N"/>
    <x v="9"/>
    <d v="2019-06-10T00:00:00.000"/>
    <d v="1899-12-30T15:46:21.000"/>
    <d v="2019-06-14T00:00:00.000"/>
    <s v="EQ"/>
    <m/>
    <s v="0737007"/>
    <s v="GB0007370074"/>
    <s v="RICARDO PLC"/>
    <s v="N"/>
    <s v="N"/>
    <s v="N/A"/>
    <m/>
    <m/>
    <m/>
    <s v="BUY"/>
    <n v="7270"/>
    <n v="7270"/>
    <s v="7.27649"/>
    <s v="52900.0823"/>
    <s v="53271.91246"/>
    <s v="105.8001646"/>
    <s v="0"/>
    <s v="266.03"/>
    <s v="GBP"/>
    <s v="GBP"/>
    <n v="53271.91246"/>
  </r>
  <r>
    <x v="2"/>
    <d v="2019-06-11T00:00:00.000"/>
    <s v="3000292"/>
    <m/>
    <s v="Confirmed"/>
    <s v="N"/>
    <x v="3"/>
    <d v="2019-06-10T00:00:00.000"/>
    <d v="1899-12-30T14:58:43.000"/>
    <d v="2019-06-14T00:00:00.000"/>
    <s v="EQ"/>
    <m/>
    <s v="BF020D3"/>
    <s v="GB00BF020D33"/>
    <s v="TEN ENTERTAINMENT GROUP PLC"/>
    <s v="N"/>
    <s v="N"/>
    <s v="N/A"/>
    <m/>
    <m/>
    <m/>
    <s v="BUY"/>
    <n v="35100"/>
    <n v="35100"/>
    <s v="2.125"/>
    <s v="74587.5"/>
    <s v="75111.355"/>
    <s v="149.175"/>
    <s v="0"/>
    <s v="374.68"/>
    <s v="GBP"/>
    <s v="GBP"/>
    <n v="75111.355"/>
  </r>
  <r>
    <x v="2"/>
    <d v="2019-06-11T00:00:00.000"/>
    <s v="3000292"/>
    <m/>
    <s v="Confirmed"/>
    <s v="N"/>
    <x v="3"/>
    <d v="2019-06-10T00:00:00.000"/>
    <d v="1899-12-30T15:27:50.000"/>
    <d v="2019-06-14T00:00:00.000"/>
    <s v="EQ"/>
    <m/>
    <s v="0879471"/>
    <s v="GB0008794710"/>
    <s v="TELECOM PLUS PLC"/>
    <s v="N"/>
    <s v="N"/>
    <s v="N/A"/>
    <m/>
    <m/>
    <m/>
    <s v="BUY"/>
    <n v="3130"/>
    <n v="3130"/>
    <s v="14.935208"/>
    <s v="46747.20104"/>
    <s v="47075.88544"/>
    <s v="93.49440208"/>
    <s v="0"/>
    <s v="235.2"/>
    <s v="GBP"/>
    <s v="GBP"/>
    <n v="47075.88544"/>
  </r>
  <r>
    <x v="2"/>
    <d v="2019-06-11T00:00:00.000"/>
    <s v="3000292"/>
    <m/>
    <s v="Confirmed"/>
    <s v="N"/>
    <x v="13"/>
    <d v="2019-06-10T00:00:00.000"/>
    <d v="1899-12-30T11:01:00.000"/>
    <d v="2019-06-14T00:00:00.000"/>
    <s v="EQ"/>
    <m/>
    <s v="0929666"/>
    <s v="GB0009296665"/>
    <s v="VITEC GROUP PLC (THE)"/>
    <s v="N"/>
    <s v="N"/>
    <s v="N/A"/>
    <m/>
    <m/>
    <m/>
    <s v="BUY"/>
    <n v="3250"/>
    <n v="3250"/>
    <s v="11.6"/>
    <s v="37700"/>
    <s v="37965.28"/>
    <s v="75.4"/>
    <s v="0"/>
    <s v="189.88"/>
    <s v="GBP"/>
    <s v="GBP"/>
    <n v="37965.28"/>
  </r>
  <r>
    <x v="2"/>
    <d v="2019-06-11T00:00:00.000"/>
    <s v="3000292"/>
    <m/>
    <s v="Confirmed"/>
    <s v="N"/>
    <x v="3"/>
    <d v="2019-06-10T00:00:00.000"/>
    <d v="1899-12-30T12:58:14.000"/>
    <d v="2019-06-14T00:00:00.000"/>
    <s v="EQ"/>
    <m/>
    <s v="BDDN1T2"/>
    <s v="GB00BDDN1T20"/>
    <s v="XPS PENSIONS GROUP PLC"/>
    <s v="N"/>
    <s v="N"/>
    <s v="N/A"/>
    <m/>
    <m/>
    <m/>
    <s v="BUY"/>
    <n v="458"/>
    <n v="458"/>
    <s v="1.53"/>
    <s v="700.74"/>
    <s v="705.65148"/>
    <s v="1.40148"/>
    <s v="0"/>
    <s v="3.51"/>
    <s v="GBP"/>
    <s v="GBP"/>
    <n v="705.65148"/>
  </r>
  <r>
    <x v="2"/>
    <d v="2019-06-11T00:00:00.000"/>
    <s v="3000292"/>
    <m/>
    <s v="Confirmed"/>
    <s v="N"/>
    <x v="3"/>
    <d v="2019-06-11T00:00:00.000"/>
    <d v="1899-12-30T10:38:52.000"/>
    <d v="2019-06-14T00:00:00.000"/>
    <s v="EQ"/>
    <m/>
    <s v="BZBX0P7"/>
    <s v="GB00BZBX0P70"/>
    <s v="THE GYM GROUP PLC"/>
    <s v="N"/>
    <s v="N"/>
    <s v="N/A"/>
    <m/>
    <m/>
    <m/>
    <s v="BUY"/>
    <n v="16856"/>
    <n v="16856"/>
    <s v="2.48"/>
    <s v="41802.88"/>
    <s v="42096.91576"/>
    <s v="83.60576"/>
    <s v="0"/>
    <s v="210.43"/>
    <s v="GBP"/>
    <s v="GBP"/>
    <n v="42096.91576"/>
  </r>
  <r>
    <x v="0"/>
    <d v="2019-06-12T00:00:00.000"/>
    <s v="3000291"/>
    <s v="000472"/>
    <s v="Confirmed"/>
    <s v="N"/>
    <x v="3"/>
    <d v="2019-06-12T00:00:00.000"/>
    <d v="1899-12-30T10:42:47.000"/>
    <d v="2019-06-14T00:00:00.000"/>
    <s v="EQ"/>
    <m/>
    <s v="BMTRW10"/>
    <s v="LU1072616219"/>
    <s v="B&amp;M EUROPEAN VALUE RETAIL"/>
    <s v="N"/>
    <s v="N"/>
    <s v="N/A"/>
    <m/>
    <m/>
    <m/>
    <s v="BUY"/>
    <n v="72000"/>
    <n v="72000"/>
    <s v="3.422423"/>
    <s v="246414.456"/>
    <s v="246660.8705"/>
    <s v="246.414456"/>
    <s v="0"/>
    <s v="0"/>
    <s v="GBP"/>
    <s v="GBP"/>
    <n v="246660.8705"/>
  </r>
  <r>
    <x v="2"/>
    <d v="2019-06-12T00:00:00.000"/>
    <s v="3000292"/>
    <s v="000117"/>
    <s v="Confirmed"/>
    <s v="N"/>
    <x v="3"/>
    <d v="2019-06-11T00:00:00.000"/>
    <d v="1899-12-30T13:19:22.000"/>
    <d v="2019-06-14T00:00:00.000"/>
    <s v="EQ"/>
    <m/>
    <s v="B64NSP7"/>
    <s v="GB00B64NSP76"/>
    <s v="COSTAIN GRP. ORD"/>
    <s v="N"/>
    <s v="N"/>
    <s v="N/A"/>
    <m/>
    <m/>
    <m/>
    <s v="BUY"/>
    <n v="19927"/>
    <n v="19927"/>
    <s v="3.242788"/>
    <s v="64619.03648"/>
    <s v="65073.02455"/>
    <s v="129.238073"/>
    <s v="0"/>
    <s v="324.74"/>
    <s v="GBP"/>
    <s v="GBP"/>
    <n v="65073.02455"/>
  </r>
  <r>
    <x v="2"/>
    <d v="2019-06-13T00:00:00.000"/>
    <s v="3000292"/>
    <s v="000120"/>
    <s v="Confirmed"/>
    <s v="N"/>
    <x v="6"/>
    <d v="2019-06-12T00:00:00.000"/>
    <d v="1899-12-30T15:33:00.000"/>
    <d v="2019-06-14T00:00:00.000"/>
    <s v="EQ"/>
    <m/>
    <s v="BYX1P35"/>
    <s v="GB00BYX1P358"/>
    <s v="TATTON ASSET M. ORD"/>
    <s v="N"/>
    <s v="N"/>
    <s v="N/A"/>
    <m/>
    <m/>
    <m/>
    <s v="BUY"/>
    <n v="2750"/>
    <n v="2750"/>
    <s v="2.135"/>
    <s v="5871.25"/>
    <s v="5882.9925"/>
    <s v="11.7425"/>
    <s v="0"/>
    <s v="0"/>
    <s v="GBP"/>
    <s v="GBP"/>
    <n v="5882.9925"/>
  </r>
  <r>
    <x v="0"/>
    <d v="2019-06-14T00:00:00.000"/>
    <s v="3000291"/>
    <s v="000476"/>
    <s v="Confirmed"/>
    <s v="N"/>
    <x v="7"/>
    <d v="2019-06-13T00:00:00.000"/>
    <d v="1899-12-30T11:24:03.000"/>
    <d v="2019-06-17T00:00:00.000"/>
    <s v="EQ"/>
    <m/>
    <s v="BDDN1T2"/>
    <s v="GB00BDDN1T20"/>
    <s v="XPS PENSIONS ORD"/>
    <s v="N"/>
    <s v="N"/>
    <s v="N/A"/>
    <m/>
    <m/>
    <m/>
    <s v="BUY"/>
    <n v="35000"/>
    <n v="35000"/>
    <s v="1.545"/>
    <s v="54075"/>
    <s v="54455.07"/>
    <s v="108.15"/>
    <s v="0"/>
    <s v="271.92"/>
    <s v="GBP"/>
    <s v="GBP"/>
    <n v="54455.07"/>
  </r>
  <r>
    <x v="0"/>
    <d v="2019-06-17T00:00:00.000"/>
    <s v="3000291"/>
    <s v="000477"/>
    <s v="Confirmed"/>
    <s v="N"/>
    <x v="7"/>
    <d v="2019-06-13T00:00:00.000"/>
    <d v="1899-12-30T11:24:03.000"/>
    <d v="2019-06-17T00:00:00.000"/>
    <s v="EQ"/>
    <m/>
    <s v="BDDN1T2"/>
    <s v="GB00BDDN1T20"/>
    <s v="XPS PENSIONS ORD"/>
    <s v="N"/>
    <s v="N"/>
    <s v="N/A"/>
    <m/>
    <m/>
    <m/>
    <s v="BUY"/>
    <n v="22085"/>
    <n v="22085"/>
    <s v="1.545"/>
    <s v="34121.325"/>
    <s v="34361.51765"/>
    <s v="68.24265"/>
    <s v="0"/>
    <s v="171.95"/>
    <s v="GBP"/>
    <s v="GBP"/>
    <n v="34361.51765"/>
  </r>
  <r>
    <x v="0"/>
    <d v="2019-06-17T00:00:00.000"/>
    <s v="3000291"/>
    <s v="000482"/>
    <s v="Confirmed"/>
    <s v="N"/>
    <x v="12"/>
    <d v="2019-06-14T00:00:00.000"/>
    <d v="1899-12-30T16:30:00.000"/>
    <d v="2019-06-18T00:00:00.000"/>
    <s v="EQ"/>
    <m/>
    <s v="BDDN1T2"/>
    <s v="GB00BDDN1T20"/>
    <s v="XPS PENSIONS GROUP PLC"/>
    <s v="N"/>
    <s v="N"/>
    <s v="N/A"/>
    <m/>
    <m/>
    <m/>
    <s v="BUY"/>
    <n v="15775"/>
    <n v="15775"/>
    <s v="1.56"/>
    <s v="24609"/>
    <s v="24782.508"/>
    <s v="49.218"/>
    <s v="0"/>
    <s v="124.29"/>
    <s v="GBP"/>
    <s v="GBP"/>
    <n v="24782.508"/>
  </r>
  <r>
    <x v="2"/>
    <d v="2019-06-17T00:00:00.000"/>
    <s v="3000292"/>
    <s v="000124"/>
    <s v="Confirmed"/>
    <s v="N"/>
    <x v="4"/>
    <d v="2019-06-14T00:00:00.000"/>
    <d v="1899-12-30T12:30:00.000"/>
    <d v="2019-06-18T00:00:00.000"/>
    <s v="EQ"/>
    <m/>
    <s v="B0CM0C5"/>
    <s v="GB00B0CM0C50"/>
    <s v="IDEAGEN PLC"/>
    <s v="N"/>
    <s v="N"/>
    <s v="N/A"/>
    <m/>
    <m/>
    <m/>
    <s v="BUY"/>
    <n v="4822"/>
    <n v="4822"/>
    <s v="1.465"/>
    <s v="7064.23"/>
    <s v="7078.35846"/>
    <s v="14.12846"/>
    <s v="0"/>
    <s v="0"/>
    <s v="GBP"/>
    <s v="GBP"/>
    <n v="7078.35846"/>
  </r>
  <r>
    <x v="2"/>
    <d v="2019-06-17T00:00:00.000"/>
    <s v="3000292"/>
    <s v="000126"/>
    <s v="Confirmed"/>
    <s v="N"/>
    <x v="3"/>
    <d v="2019-06-14T00:00:00.000"/>
    <d v="1899-12-30T16:27:08.000"/>
    <d v="2019-06-18T00:00:00.000"/>
    <s v="EQ"/>
    <m/>
    <s v="3002605"/>
    <s v="_x0009_GB0030026057"/>
    <s v="NEXT FIFTEEN COMMUNICATIONS GROUP PLC"/>
    <s v="N"/>
    <s v="N"/>
    <s v="N/A"/>
    <m/>
    <m/>
    <m/>
    <s v="BUY"/>
    <n v="37"/>
    <n v="37"/>
    <s v="5.9"/>
    <s v="218.3"/>
    <s v="218.7366"/>
    <s v="0.4366"/>
    <s v="0"/>
    <s v="0"/>
    <s v="GBP"/>
    <s v="GBP"/>
    <n v="218.7366"/>
  </r>
  <r>
    <x v="2"/>
    <d v="2019-06-17T00:00:00.000"/>
    <s v="3000292"/>
    <s v="000127"/>
    <s v="Confirmed"/>
    <s v="N"/>
    <x v="12"/>
    <d v="2019-06-14T00:00:00.000"/>
    <d v="1899-12-30T16:30:00.000"/>
    <d v="2019-06-18T00:00:00.000"/>
    <s v="EQ"/>
    <m/>
    <s v="BDDN1T2"/>
    <s v="GB00BDDN1T20"/>
    <s v="XPS PENSIONS GROUP PLC"/>
    <s v="N"/>
    <s v="N"/>
    <s v="N/A"/>
    <m/>
    <m/>
    <m/>
    <s v="BUY"/>
    <n v="9225"/>
    <n v="9225"/>
    <s v="1.56"/>
    <s v="14391"/>
    <s v="14492.882"/>
    <s v="28.782"/>
    <s v="0"/>
    <s v="73.1"/>
    <s v="GBP"/>
    <s v="GBP"/>
    <n v="14492.882"/>
  </r>
  <r>
    <x v="2"/>
    <d v="2019-06-17T00:00:00.000"/>
    <s v="3000292"/>
    <s v="000128"/>
    <s v="Confirmed"/>
    <s v="N"/>
    <x v="7"/>
    <d v="2019-06-13T00:00:00.000"/>
    <d v="1899-12-30T11:24:03.000"/>
    <d v="2019-06-17T00:00:00.000"/>
    <s v="EQ"/>
    <m/>
    <s v="BDDN1T2"/>
    <s v="GB00BDDN1T20"/>
    <s v="XPS PENSIONS ORD"/>
    <s v="N"/>
    <s v="N"/>
    <s v="N/A"/>
    <m/>
    <m/>
    <m/>
    <s v="BUY"/>
    <n v="12915"/>
    <n v="12915"/>
    <s v="1.545"/>
    <s v="19953.675"/>
    <s v="20094.56235"/>
    <s v="39.90735"/>
    <s v="0"/>
    <s v="100.97"/>
    <s v="GBP"/>
    <s v="GBP"/>
    <n v="20094.56235"/>
  </r>
  <r>
    <x v="0"/>
    <d v="2019-06-18T00:00:00.000"/>
    <s v="3000291"/>
    <s v="000483"/>
    <s v="Confirmed"/>
    <s v="N"/>
    <x v="12"/>
    <d v="2019-06-17T00:00:00.000"/>
    <d v="1899-12-30T15:01:40.000"/>
    <d v="2019-06-19T00:00:00.000"/>
    <s v="EQ"/>
    <m/>
    <s v="BDDN1T2"/>
    <s v="GB00BDDN1T20"/>
    <s v="XPS PENSIONS GROUP PLC"/>
    <s v="N"/>
    <s v="N"/>
    <s v="N/A"/>
    <m/>
    <m/>
    <m/>
    <s v="BUY"/>
    <n v="22085"/>
    <n v="22085"/>
    <s v="1.56"/>
    <s v="34452.6"/>
    <s v="34695.1152"/>
    <s v="68.9052"/>
    <s v="0"/>
    <s v="173.61"/>
    <s v="GBP"/>
    <s v="GBP"/>
    <n v="34695.1152"/>
  </r>
  <r>
    <x v="2"/>
    <d v="2019-06-18T00:00:00.000"/>
    <s v="3000292"/>
    <s v="000129"/>
    <s v="Confirmed"/>
    <s v="N"/>
    <x v="5"/>
    <d v="2019-06-17T00:00:00.000"/>
    <d v="1899-12-30T14:01:57.000"/>
    <d v="2019-06-19T00:00:00.000"/>
    <s v="EQ"/>
    <m/>
    <s v="B0CM0C5"/>
    <s v="GB00B0CM0C50"/>
    <s v="IDEAGEN PLC"/>
    <s v="N"/>
    <s v="N"/>
    <s v="N/A"/>
    <m/>
    <m/>
    <m/>
    <s v="BUY"/>
    <n v="5000"/>
    <n v="5000"/>
    <s v="1.465"/>
    <s v="7325"/>
    <s v="7339.65"/>
    <s v="14.65"/>
    <s v="0"/>
    <s v="0"/>
    <s v="GBP"/>
    <s v="GBP"/>
    <n v="7339.65"/>
  </r>
  <r>
    <x v="2"/>
    <d v="2019-06-18T00:00:00.000"/>
    <s v="3000292"/>
    <s v="000130"/>
    <s v="Confirmed"/>
    <s v="N"/>
    <x v="12"/>
    <d v="2019-06-17T00:00:00.000"/>
    <d v="1899-12-30T15:01:40.000"/>
    <d v="2019-06-19T00:00:00.000"/>
    <s v="EQ"/>
    <m/>
    <s v="BDDN1T2"/>
    <s v="GB00BDDN1T20"/>
    <s v="XPS PENSIONS GROUP PLC"/>
    <s v="N"/>
    <s v="N"/>
    <s v="N/A"/>
    <m/>
    <m/>
    <m/>
    <s v="BUY"/>
    <n v="12915"/>
    <n v="12915"/>
    <s v="1.56"/>
    <s v="20147.4"/>
    <s v="20289.6348"/>
    <s v="40.2948"/>
    <s v="0"/>
    <s v="101.94"/>
    <s v="GBP"/>
    <s v="GBP"/>
    <n v="20289.6348"/>
  </r>
  <r>
    <x v="2"/>
    <d v="2019-06-18T00:00:00.000"/>
    <s v="3000292"/>
    <s v="000131"/>
    <s v="Confirmed"/>
    <s v="N"/>
    <x v="3"/>
    <d v="2019-06-18T00:00:00.000"/>
    <d v="1899-12-30T09:20:58.000"/>
    <d v="2019-06-20T00:00:00.000"/>
    <s v="EQ"/>
    <m/>
    <s v="BMTRW10"/>
    <s v="LU1072616219"/>
    <s v="B&amp;M EUROPEAN VALUE RETAIL S.A."/>
    <s v="N"/>
    <s v="N"/>
    <s v="N/A"/>
    <m/>
    <m/>
    <m/>
    <s v="BUY"/>
    <n v="11200"/>
    <n v="11200"/>
    <s v="3.319"/>
    <s v="37172.8"/>
    <s v="37209.9728"/>
    <s v="37.1728"/>
    <s v="0"/>
    <s v="0"/>
    <s v="GBP"/>
    <s v="GBP"/>
    <n v="37209.9728"/>
  </r>
  <r>
    <x v="2"/>
    <d v="2019-06-18T00:00:00.000"/>
    <s v="3000292"/>
    <s v="000132"/>
    <s v="Confirmed"/>
    <s v="N"/>
    <x v="13"/>
    <d v="2019-06-18T00:00:00.000"/>
    <d v="1899-12-30T09:42:00.000"/>
    <d v="2019-06-20T00:00:00.000"/>
    <s v="EQ"/>
    <m/>
    <s v="0929666"/>
    <s v="GB0009296665"/>
    <s v="VITEC GROUP PLC (THE)"/>
    <s v="N"/>
    <s v="N"/>
    <s v="N/A"/>
    <m/>
    <m/>
    <m/>
    <s v="BUY"/>
    <n v="9220"/>
    <n v="9220"/>
    <s v="11.5"/>
    <s v="106030"/>
    <s v="106774.27"/>
    <s v="212.06"/>
    <s v="0"/>
    <s v="532.21"/>
    <s v="GBP"/>
    <s v="GBP"/>
    <n v="106774.27"/>
  </r>
  <r>
    <x v="0"/>
    <d v="2019-06-19T00:00:00.000"/>
    <s v="3000291"/>
    <s v="000485"/>
    <s v="Confirmed"/>
    <s v="N"/>
    <x v="12"/>
    <d v="2019-06-18T00:00:00.000"/>
    <d v="1899-12-30T12:28:40.000"/>
    <d v="2019-06-20T00:00:00.000"/>
    <s v="EQ"/>
    <m/>
    <s v="BDDN1T2"/>
    <s v="GB00BDDN1T20"/>
    <s v="XPS PENSIONS GROUP PLC"/>
    <s v="N"/>
    <s v="N"/>
    <s v="N/A"/>
    <m/>
    <m/>
    <m/>
    <s v="BUY"/>
    <n v="26055"/>
    <n v="26055"/>
    <s v="1.575"/>
    <s v="41036.625"/>
    <s v="41325.28825"/>
    <s v="82.07325"/>
    <s v="0"/>
    <s v="206.59"/>
    <s v="GBP"/>
    <s v="GBP"/>
    <n v="41325.28825"/>
  </r>
  <r>
    <x v="2"/>
    <d v="2019-06-19T00:00:00.000"/>
    <s v="3000292"/>
    <s v="000133"/>
    <s v="Confirmed"/>
    <s v="N"/>
    <x v="13"/>
    <d v="2019-06-18T00:00:00.000"/>
    <d v="1899-12-30T09:42:00.000"/>
    <d v="2019-06-20T00:00:00.000"/>
    <s v="EQ"/>
    <m/>
    <s v="0929666"/>
    <s v="GB0009296665"/>
    <s v="VITEC GROUP PLC (THE)"/>
    <s v="N"/>
    <s v="N"/>
    <s v="N/A"/>
    <m/>
    <m/>
    <m/>
    <s v="BUY"/>
    <n v="1520"/>
    <n v="1520"/>
    <s v="11.5"/>
    <s v="17480"/>
    <s v="17603.53"/>
    <s v="34.96"/>
    <s v="0"/>
    <s v="88.57"/>
    <s v="GBP"/>
    <s v="GBP"/>
    <n v="17603.53"/>
  </r>
  <r>
    <x v="2"/>
    <d v="2019-06-19T00:00:00.000"/>
    <s v="3000292"/>
    <s v="000134"/>
    <s v="Confirmed"/>
    <s v="N"/>
    <x v="12"/>
    <d v="2019-06-18T00:00:00.000"/>
    <d v="1899-12-30T12:28:40.000"/>
    <d v="2019-06-20T00:00:00.000"/>
    <s v="EQ"/>
    <m/>
    <s v="BDDN1T2"/>
    <s v="GB00BDDN1T20"/>
    <s v="XPS PENSIONS GROUP PLC"/>
    <s v="N"/>
    <s v="N"/>
    <s v="N/A"/>
    <m/>
    <m/>
    <m/>
    <s v="BUY"/>
    <n v="15237"/>
    <n v="15237"/>
    <s v="1.575"/>
    <s v="23998.275"/>
    <s v="24167.51155"/>
    <s v="47.99655"/>
    <s v="0"/>
    <s v="121.23"/>
    <s v="GBP"/>
    <s v="GBP"/>
    <n v="24167.51155"/>
  </r>
  <r>
    <x v="0"/>
    <d v="2019-06-21T00:00:00.000"/>
    <s v="3000291"/>
    <s v="000487"/>
    <s v="Confirmed"/>
    <s v="N"/>
    <x v="2"/>
    <d v="2019-06-20T00:00:00.000"/>
    <d v="1899-12-30T14:50:00.000"/>
    <d v="2019-06-20T00:00:00.000"/>
    <s v="B"/>
    <m/>
    <m/>
    <s v="DUMMY"/>
    <s v="THE LAKES DISTILLERY COMPANY PLC"/>
    <s v="N"/>
    <s v="N"/>
    <s v="N/A"/>
    <m/>
    <m/>
    <m/>
    <s v="BUY"/>
    <n v="1000000"/>
    <n v="1000000"/>
    <s v="1"/>
    <s v="1000000"/>
    <s v="1000000"/>
    <s v="0"/>
    <s v="0"/>
    <s v="0"/>
    <s v="GBP"/>
    <s v="GBP"/>
    <n v="1000000"/>
  </r>
  <r>
    <x v="1"/>
    <d v="2019-06-25T00:00:00.000"/>
    <s v="3000290"/>
    <s v="000547"/>
    <s v="Confirmed"/>
    <s v="N"/>
    <x v="3"/>
    <d v="2019-06-20T00:00:00.000"/>
    <d v="1899-12-30T09:46:03.000"/>
    <d v="2019-06-25T00:00:00.000"/>
    <s v="EQ"/>
    <m/>
    <s v="BJLPH05"/>
    <s v="GB00BJLPH056"/>
    <s v="Argentex Group PLC"/>
    <s v="N"/>
    <s v="Y"/>
    <s v="N"/>
    <m/>
    <m/>
    <m/>
    <s v="BUY"/>
    <n v="4320949"/>
    <n v="4320949"/>
    <s v="1.06"/>
    <s v="4580205.94"/>
    <s v="4580205.94"/>
    <s v="0"/>
    <s v="0"/>
    <s v="0"/>
    <s v="GBP"/>
    <s v="GBP"/>
    <n v="4580205.94"/>
  </r>
  <r>
    <x v="0"/>
    <d v="2019-06-25T00:00:00.000"/>
    <s v="3000291"/>
    <s v="000489"/>
    <s v="Confirmed"/>
    <s v="N"/>
    <x v="3"/>
    <d v="2019-06-20T00:00:00.000"/>
    <d v="1899-12-30T09:46:03.000"/>
    <d v="2019-06-25T00:00:00.000"/>
    <s v="EQ"/>
    <m/>
    <s v="BJLPH05"/>
    <s v="GB00BJLPH056"/>
    <s v="Argentex Group PLC"/>
    <s v="N"/>
    <s v="Y"/>
    <s v="N"/>
    <m/>
    <m/>
    <m/>
    <s v="BUY"/>
    <n v="624415"/>
    <n v="624415"/>
    <s v="1.06"/>
    <s v="661879.9"/>
    <s v="661879.9"/>
    <s v="0"/>
    <s v="0"/>
    <s v="0"/>
    <s v="GBP"/>
    <s v="GBP"/>
    <n v="661879.9"/>
  </r>
  <r>
    <x v="2"/>
    <d v="2019-06-25T00:00:00.000"/>
    <s v="3000292"/>
    <s v="000137"/>
    <s v="Confirmed"/>
    <s v="N"/>
    <x v="3"/>
    <d v="2019-06-20T00:00:00.000"/>
    <d v="1899-12-30T09:46:03.000"/>
    <d v="2019-06-25T00:00:00.000"/>
    <s v="EQ"/>
    <m/>
    <s v="BJLPH05"/>
    <s v="GB00BJLPH056"/>
    <s v="Argentex Group PLC"/>
    <s v="N"/>
    <s v="Y"/>
    <s v="N"/>
    <m/>
    <m/>
    <m/>
    <s v="BUY"/>
    <n v="54636"/>
    <n v="54636"/>
    <s v="1.06"/>
    <s v="57914.16"/>
    <s v="57914.16"/>
    <s v="0"/>
    <s v="0"/>
    <s v="0"/>
    <s v="GBP"/>
    <s v="GBP"/>
    <n v="57914.16"/>
  </r>
  <r>
    <x v="1"/>
    <d v="2019-06-27T00:00:00.000"/>
    <s v="3000290"/>
    <s v="000551"/>
    <s v="Confirmed"/>
    <s v="N"/>
    <x v="3"/>
    <d v="2019-06-27T00:00:00.000"/>
    <d v="1899-12-30T10:02:19.000"/>
    <d v="2019-07-01T00:00:00.000"/>
    <s v="EQ"/>
    <m/>
    <s v="BDDN1T2"/>
    <s v="GB00BDDN1T20"/>
    <s v="XPS PENSIONS GROUP PLC"/>
    <s v="N"/>
    <s v="N"/>
    <s v="N/A"/>
    <m/>
    <m/>
    <m/>
    <s v="BUY"/>
    <n v="1000000"/>
    <n v="1000000"/>
    <s v="1"/>
    <s v="1000000"/>
    <s v="1007011"/>
    <s v="2000"/>
    <s v="0"/>
    <s v="5011"/>
    <s v="GBP"/>
    <s v="GBP"/>
    <n v="1007011"/>
  </r>
  <r>
    <x v="1"/>
    <d v="2019-06-27T00:00:00.000"/>
    <s v="3000290"/>
    <s v="000552"/>
    <s v="Confirmed"/>
    <s v="N"/>
    <x v="12"/>
    <d v="2019-06-27T00:00:00.000"/>
    <d v="1899-12-30T10:09:28.000"/>
    <d v="2019-07-01T00:00:00.000"/>
    <s v="EQ"/>
    <m/>
    <s v="BDDN1T2"/>
    <s v="GB00BDDN1T20"/>
    <s v="XPS PENSIONS GROUP PLC"/>
    <s v="N"/>
    <s v="N"/>
    <s v="N/A"/>
    <m/>
    <m/>
    <m/>
    <s v="BUY"/>
    <n v="608319"/>
    <n v="608319"/>
    <s v="1"/>
    <s v="608319"/>
    <s v="612584.318"/>
    <s v="1216.638"/>
    <s v="0"/>
    <s v="3048.68"/>
    <s v="GBP"/>
    <s v="GBP"/>
    <n v="612584.318"/>
  </r>
  <r>
    <x v="0"/>
    <d v="2019-06-27T00:00:00.000"/>
    <s v="3000291"/>
    <s v="000492"/>
    <s v="Confirmed"/>
    <s v="N"/>
    <x v="12"/>
    <d v="2019-06-27T00:00:00.000"/>
    <d v="1899-12-30T10:09:28.000"/>
    <d v="2019-07-01T00:00:00.000"/>
    <s v="EQ"/>
    <m/>
    <s v="BDDN1T2"/>
    <s v="GB00BDDN1T20"/>
    <s v="XPS PENSIONS GROUP PLC"/>
    <s v="N"/>
    <s v="N"/>
    <s v="N/A"/>
    <m/>
    <m/>
    <m/>
    <s v="BUY"/>
    <n v="312546"/>
    <n v="312546"/>
    <s v="1"/>
    <s v="312546"/>
    <s v="314737.952"/>
    <s v="625.092"/>
    <s v="0"/>
    <s v="1566.86"/>
    <s v="GBP"/>
    <s v="GBP"/>
    <n v="314737.952"/>
  </r>
  <r>
    <x v="2"/>
    <d v="2019-06-27T00:00:00.000"/>
    <s v="3000292"/>
    <s v="000138"/>
    <s v="Confirmed"/>
    <s v="N"/>
    <x v="12"/>
    <d v="2019-06-27T00:00:00.000"/>
    <d v="1899-12-30T10:09:28.000"/>
    <d v="2019-07-01T00:00:00.000"/>
    <s v="EQ"/>
    <m/>
    <s v="BDDN1T2"/>
    <s v="GB00BDDN1T20"/>
    <s v="XPS PENSIONS GROUP PLC"/>
    <s v="N"/>
    <s v="N"/>
    <s v="N/A"/>
    <m/>
    <m/>
    <m/>
    <s v="BUY"/>
    <n v="26000"/>
    <n v="26000"/>
    <s v="1"/>
    <s v="26000"/>
    <s v="26183.26"/>
    <s v="52"/>
    <s v="0"/>
    <s v="131.26"/>
    <s v="GBP"/>
    <s v="GBP"/>
    <n v="26183.26"/>
  </r>
  <r>
    <x v="1"/>
    <d v="2019-07-01T00:00:00.000"/>
    <s v="3000290"/>
    <s v="000555"/>
    <s v="Confirmed"/>
    <s v="N"/>
    <x v="16"/>
    <d v="2019-06-28T00:00:00.000"/>
    <d v="1899-12-30T15:07:28.000"/>
    <d v="2019-07-02T00:00:00.000"/>
    <s v="EQ"/>
    <m/>
    <s v="B196F55"/>
    <s v="GB00B196F554"/>
    <s v="AVATION PLC"/>
    <s v="N"/>
    <s v="N"/>
    <s v="N/A"/>
    <m/>
    <m/>
    <m/>
    <s v="SELL"/>
    <n v="12500"/>
    <n v="12500"/>
    <s v="2.72"/>
    <s v="34000"/>
    <s v="33931"/>
    <s v="68"/>
    <s v="0"/>
    <s v="1"/>
    <s v="GBP"/>
    <s v="GBP"/>
    <n v="33931"/>
  </r>
  <r>
    <x v="1"/>
    <d v="2019-07-01T00:00:00.000"/>
    <s v="3000290"/>
    <s v="000556"/>
    <s v="Confirmed"/>
    <s v="N"/>
    <x v="12"/>
    <d v="2019-06-28T00:00:00.000"/>
    <d v="1899-12-30T16:33:31.000"/>
    <d v="2019-07-02T00:00:00.000"/>
    <s v="EQ"/>
    <m/>
    <s v="B196F55"/>
    <s v="GB00B196F554"/>
    <s v="AVATION PLC"/>
    <s v="N"/>
    <s v="N"/>
    <s v="N/A"/>
    <m/>
    <m/>
    <m/>
    <s v="SELL"/>
    <n v="10000"/>
    <n v="10000"/>
    <s v="2.72"/>
    <s v="27200"/>
    <s v="27144.6"/>
    <s v="54.4"/>
    <s v="0"/>
    <s v="1"/>
    <s v="GBP"/>
    <s v="GBP"/>
    <n v="27144.6"/>
  </r>
  <r>
    <x v="1"/>
    <d v="2019-07-01T00:00:00.000"/>
    <s v="3000290"/>
    <s v="000557"/>
    <s v="Confirmed"/>
    <s v="N"/>
    <x v="12"/>
    <d v="2019-06-28T00:00:00.000"/>
    <d v="1899-12-30T16:34:28.000"/>
    <d v="2019-07-02T00:00:00.000"/>
    <s v="EQ"/>
    <m/>
    <s v="0490526"/>
    <s v="GB0004905260"/>
    <s v="IMPAX ASSET MANAGEMENT GROUP PLC"/>
    <s v="N"/>
    <s v="N"/>
    <s v="N/A"/>
    <m/>
    <m/>
    <m/>
    <s v="SELL"/>
    <n v="20000"/>
    <n v="20000"/>
    <s v="2.76"/>
    <s v="55200"/>
    <s v="55088.6"/>
    <s v="110.4"/>
    <s v="0"/>
    <s v="1"/>
    <s v="GBP"/>
    <s v="GBP"/>
    <n v="55088.6"/>
  </r>
  <r>
    <x v="1"/>
    <d v="2019-07-01T00:00:00.000"/>
    <s v="3000290"/>
    <s v="000558"/>
    <s v="Confirmed"/>
    <s v="N"/>
    <x v="9"/>
    <d v="2019-06-28T00:00:00.000"/>
    <d v="1899-12-30T16:38:38.000"/>
    <d v="2019-07-02T00:00:00.000"/>
    <s v="EQ"/>
    <m/>
    <s v="0490526"/>
    <s v="GB0004905260"/>
    <s v="IMPAX ASSET MANAGEMENT GROUP PLC"/>
    <s v="N"/>
    <s v="N"/>
    <s v="N/A"/>
    <m/>
    <m/>
    <m/>
    <s v="SELL"/>
    <n v="25000"/>
    <n v="25000"/>
    <s v="2.75"/>
    <s v="68750"/>
    <s v="68611.5"/>
    <s v="137.5"/>
    <s v="0"/>
    <s v="1"/>
    <s v="GBP"/>
    <s v="GBP"/>
    <n v="68611.5"/>
  </r>
  <r>
    <x v="0"/>
    <d v="2019-07-01T00:00:00.000"/>
    <s v="3000291"/>
    <s v="000495"/>
    <s v="Confirmed"/>
    <s v="N"/>
    <x v="12"/>
    <d v="2019-06-28T00:00:00.000"/>
    <d v="1899-12-30T12:00:00.000"/>
    <d v="2019-07-02T00:00:00.000"/>
    <s v="EQ"/>
    <m/>
    <s v="B64NSP7"/>
    <s v="GB00B64NSP76"/>
    <s v="COSTAIN GROUP PLC"/>
    <s v="N"/>
    <s v="N"/>
    <s v="N/A"/>
    <m/>
    <m/>
    <m/>
    <s v="SELL"/>
    <n v="91742"/>
    <n v="91742"/>
    <s v="1.9665"/>
    <s v="180410.643"/>
    <s v="180048.8217"/>
    <s v="360.821286"/>
    <s v="0"/>
    <s v="1"/>
    <s v="GBP"/>
    <s v="GBP"/>
    <n v="180048.8217"/>
  </r>
  <r>
    <x v="2"/>
    <d v="2019-07-01T00:00:00.000"/>
    <s v="3000292"/>
    <s v="000142"/>
    <s v="Confirmed"/>
    <s v="N"/>
    <x v="12"/>
    <d v="2019-06-28T00:00:00.000"/>
    <d v="1899-12-30T12:00:00.000"/>
    <d v="2019-07-02T00:00:00.000"/>
    <s v="EQ"/>
    <m/>
    <s v="B64NSP7"/>
    <s v="GB00B64NSP76"/>
    <s v="COSTAIN GROUP PLC"/>
    <s v="N"/>
    <s v="N"/>
    <s v="N/A"/>
    <m/>
    <m/>
    <m/>
    <s v="SELL"/>
    <n v="8258"/>
    <n v="8258"/>
    <s v="1.9665"/>
    <s v="16239.357"/>
    <s v="16205.87829"/>
    <s v="32.478714"/>
    <s v="0"/>
    <s v="1"/>
    <s v="GBP"/>
    <s v="GBP"/>
    <n v="16205.87829"/>
  </r>
  <r>
    <x v="0"/>
    <d v="2019-07-02T00:00:00.000"/>
    <s v="3000291"/>
    <s v="000496"/>
    <s v="Confirmed"/>
    <s v="N"/>
    <x v="12"/>
    <d v="2019-07-01T00:00:00.000"/>
    <d v="1899-12-30T11:24:34.000"/>
    <d v="2019-07-03T00:00:00.000"/>
    <s v="EQ"/>
    <m/>
    <s v="0371847"/>
    <s v="GB0003718474"/>
    <s v="GAMES WORKSHOP GROUP PLC"/>
    <s v="N"/>
    <s v="N"/>
    <s v="N/A"/>
    <m/>
    <m/>
    <m/>
    <s v="SELL"/>
    <n v="4700"/>
    <n v="4700"/>
    <s v="50"/>
    <s v="235000"/>
    <s v="234529"/>
    <s v="470"/>
    <s v="0"/>
    <s v="1"/>
    <s v="GBP"/>
    <s v="GBP"/>
    <n v="234529"/>
  </r>
  <r>
    <x v="1"/>
    <d v="2019-07-04T00:00:00.000"/>
    <s v="3000290"/>
    <s v="000559"/>
    <s v="Confirmed"/>
    <s v="N"/>
    <x v="4"/>
    <d v="2019-07-03T00:00:00.000"/>
    <d v="1899-12-30T15:55:14.000"/>
    <d v="2019-07-05T00:00:00.000"/>
    <s v="EQ"/>
    <m/>
    <s v="B196F55"/>
    <s v="GB00B196F554"/>
    <s v="AVATION PLC"/>
    <s v="N"/>
    <s v="N"/>
    <s v="N/A"/>
    <m/>
    <m/>
    <m/>
    <s v="SELL"/>
    <n v="10000"/>
    <n v="10000"/>
    <s v="2.76"/>
    <s v="27600"/>
    <s v="27543.8"/>
    <s v="55.2"/>
    <s v="0"/>
    <s v="1"/>
    <s v="GBP"/>
    <s v="GBP"/>
    <n v="27543.8"/>
  </r>
  <r>
    <x v="1"/>
    <d v="2019-07-04T00:00:00.000"/>
    <s v="3000290"/>
    <s v="000560"/>
    <s v="Confirmed"/>
    <s v="N"/>
    <x v="4"/>
    <d v="2019-07-03T00:00:00.000"/>
    <d v="1899-12-30T17:06:42.000"/>
    <d v="2019-07-05T00:00:00.000"/>
    <s v="EQ"/>
    <m/>
    <s v="B196F55"/>
    <s v="GB00B196F554"/>
    <s v="AVATION PLC"/>
    <s v="N"/>
    <s v="N"/>
    <s v="N/A"/>
    <m/>
    <m/>
    <m/>
    <s v="SELL"/>
    <n v="25000"/>
    <n v="25000"/>
    <s v="2.76"/>
    <s v="69000"/>
    <s v="68861"/>
    <s v="138"/>
    <s v="0"/>
    <s v="1"/>
    <s v="GBP"/>
    <s v="GBP"/>
    <n v="68861"/>
  </r>
  <r>
    <x v="1"/>
    <d v="2019-07-05T00:00:00.000"/>
    <s v="3000290"/>
    <s v="000561"/>
    <s v="Confirmed"/>
    <s v="N"/>
    <x v="2"/>
    <d v="2019-07-04T00:00:00.000"/>
    <d v="1899-12-30T13:45:00.000"/>
    <d v="2019-07-08T00:00:00.000"/>
    <s v="EQ"/>
    <m/>
    <s v="B5NR1S7"/>
    <s v="GB00B5NR1S72"/>
    <s v="RESTORE PLC"/>
    <s v="N"/>
    <s v="N"/>
    <s v="N/A"/>
    <m/>
    <m/>
    <m/>
    <s v="SELL"/>
    <n v="450000"/>
    <n v="450000"/>
    <s v="3.95"/>
    <s v="1777500"/>
    <s v="1773944"/>
    <s v="3555"/>
    <s v="0"/>
    <s v="1"/>
    <s v="GBP"/>
    <s v="GBP"/>
    <n v="1773944"/>
  </r>
  <r>
    <x v="1"/>
    <d v="2019-07-05T00:00:00.000"/>
    <s v="3000290"/>
    <s v="000562"/>
    <s v="Confirmed"/>
    <s v="N"/>
    <x v="3"/>
    <d v="2019-07-04T00:00:00.000"/>
    <d v="1899-12-30T11:41:43.000"/>
    <d v="2019-07-08T00:00:00.000"/>
    <s v="EQ"/>
    <m/>
    <s v="BFYF629"/>
    <s v="GB00BFYF6298"/>
    <s v="KNIGHTS GROUP HOLDINGS PLC"/>
    <s v="N"/>
    <s v="N"/>
    <s v="N/A"/>
    <m/>
    <m/>
    <m/>
    <s v="SELL"/>
    <n v="40000"/>
    <n v="40000"/>
    <s v="2.7"/>
    <s v="108000"/>
    <s v="107783"/>
    <s v="216"/>
    <s v="0"/>
    <s v="1"/>
    <s v="GBP"/>
    <s v="GBP"/>
    <n v="107783"/>
  </r>
  <r>
    <x v="1"/>
    <d v="2019-07-05T00:00:00.000"/>
    <s v="3000290"/>
    <s v="000563"/>
    <s v="Confirmed"/>
    <s v="N"/>
    <x v="3"/>
    <d v="2019-07-04T00:00:00.000"/>
    <d v="1899-12-30T14:58:42.000"/>
    <d v="2019-07-08T00:00:00.000"/>
    <s v="EQ"/>
    <m/>
    <s v="BFYF629"/>
    <s v="GB00BFYF6298"/>
    <s v="KNIGHTS GROUP HOLDINGS PLC"/>
    <s v="N"/>
    <s v="N"/>
    <s v="N/A"/>
    <m/>
    <m/>
    <m/>
    <s v="SELL"/>
    <n v="60000"/>
    <n v="60000"/>
    <s v="2.7"/>
    <s v="162000"/>
    <s v="161675"/>
    <s v="324"/>
    <s v="0"/>
    <s v="1"/>
    <s v="GBP"/>
    <s v="GBP"/>
    <n v="161675"/>
  </r>
  <r>
    <x v="1"/>
    <d v="2019-07-05T00:00:00.000"/>
    <s v="3000290"/>
    <s v="000564"/>
    <s v="Confirmed"/>
    <s v="N"/>
    <x v="12"/>
    <d v="2019-07-04T00:00:00.000"/>
    <d v="1899-12-30T16:38:37.000"/>
    <d v="2019-07-08T00:00:00.000"/>
    <s v="EQ"/>
    <m/>
    <s v="BFYF629"/>
    <s v="GB00BFYF6298"/>
    <s v="KNIGHTS GROUP HOLDINGS PLC"/>
    <s v="N"/>
    <s v="N"/>
    <s v="N/A"/>
    <m/>
    <m/>
    <m/>
    <s v="SELL"/>
    <n v="25000"/>
    <n v="25000"/>
    <s v="2.7"/>
    <s v="67500"/>
    <s v="67364"/>
    <s v="135"/>
    <s v="0"/>
    <s v="1"/>
    <s v="GBP"/>
    <s v="GBP"/>
    <n v="67364"/>
  </r>
  <r>
    <x v="1"/>
    <d v="2019-07-05T00:00:00.000"/>
    <s v="3000290"/>
    <s v="000565"/>
    <s v="Confirmed"/>
    <s v="N"/>
    <x v="4"/>
    <d v="2019-07-04T00:00:00.000"/>
    <d v="1899-12-30T16:40:44.000"/>
    <d v="2019-07-08T00:00:00.000"/>
    <s v="EQ"/>
    <m/>
    <s v="B196F55"/>
    <s v="GB00B196F554"/>
    <s v="AVATION PLC"/>
    <s v="N"/>
    <s v="N"/>
    <s v="N/A"/>
    <m/>
    <m/>
    <m/>
    <s v="SELL"/>
    <n v="10000"/>
    <n v="10000"/>
    <s v="2.76"/>
    <s v="27600"/>
    <s v="27543.8"/>
    <s v="55.2"/>
    <s v="0"/>
    <s v="1"/>
    <s v="GBP"/>
    <s v="GBP"/>
    <n v="27543.8"/>
  </r>
  <r>
    <x v="1"/>
    <d v="2019-07-08T00:00:00.000"/>
    <s v="3000290"/>
    <s v="000566"/>
    <s v="Confirmed"/>
    <s v="N"/>
    <x v="4"/>
    <d v="2019-07-05T00:00:00.000"/>
    <d v="1899-12-30T15:53:32.000"/>
    <d v="2019-07-09T00:00:00.000"/>
    <s v="EQ"/>
    <m/>
    <s v="0452690"/>
    <s v="GB0004526900"/>
    <s v="IG DESIGN GROUP PLC"/>
    <s v="N"/>
    <s v="N"/>
    <s v="N/A"/>
    <m/>
    <m/>
    <m/>
    <s v="SELL"/>
    <n v="50000"/>
    <n v="50000"/>
    <s v="5.9"/>
    <s v="295000"/>
    <s v="294409"/>
    <s v="590"/>
    <s v="0"/>
    <s v="1"/>
    <s v="GBP"/>
    <s v="GBP"/>
    <n v="294409"/>
  </r>
  <r>
    <x v="1"/>
    <d v="2019-07-08T00:00:00.000"/>
    <s v="3000290"/>
    <s v="000567"/>
    <s v="Confirmed"/>
    <s v="N"/>
    <x v="6"/>
    <d v="2019-07-05T00:00:00.000"/>
    <d v="1899-12-30T12:50:00.000"/>
    <d v="2019-07-09T00:00:00.000"/>
    <s v="EQ"/>
    <m/>
    <s v="0452690"/>
    <s v="GB0004526900"/>
    <s v="IG DESIGN GROUP PLC"/>
    <s v="N"/>
    <s v="N"/>
    <s v="N/A"/>
    <m/>
    <m/>
    <m/>
    <s v="SELL"/>
    <n v="100000"/>
    <n v="100000"/>
    <s v="5.91"/>
    <s v="591000"/>
    <s v="589817"/>
    <s v="1182"/>
    <s v="0"/>
    <s v="1"/>
    <s v="GBP"/>
    <s v="GBP"/>
    <n v="589817"/>
  </r>
  <r>
    <x v="1"/>
    <d v="2019-07-08T00:00:00.000"/>
    <s v="3000290"/>
    <s v="000568"/>
    <s v="Confirmed"/>
    <s v="N"/>
    <x v="6"/>
    <d v="2019-07-05T00:00:00.000"/>
    <d v="1899-12-30T15:01:00.000"/>
    <d v="2019-07-09T00:00:00.000"/>
    <s v="EQ"/>
    <m/>
    <s v="0452690"/>
    <s v="GB0004526900"/>
    <s v="IG DESIGN GROUP PLC"/>
    <s v="N"/>
    <s v="N"/>
    <s v="N/A"/>
    <m/>
    <m/>
    <m/>
    <s v="SELL"/>
    <n v="60000"/>
    <n v="60000"/>
    <s v="5.91"/>
    <s v="354600"/>
    <s v="353889.8"/>
    <s v="709.2"/>
    <s v="0"/>
    <s v="1"/>
    <s v="GBP"/>
    <s v="GBP"/>
    <n v="353889.8"/>
  </r>
  <r>
    <x v="1"/>
    <d v="2019-07-08T00:00:00.000"/>
    <s v="3000290"/>
    <s v="000569"/>
    <s v="Confirmed"/>
    <s v="N"/>
    <x v="4"/>
    <d v="2019-07-05T00:00:00.000"/>
    <d v="1899-12-30T16:38:24.000"/>
    <d v="2019-07-09T00:00:00.000"/>
    <s v="EQ"/>
    <m/>
    <s v="B196F55"/>
    <s v="GB00B196F554"/>
    <s v="AVATION PLC"/>
    <s v="N"/>
    <s v="N"/>
    <s v="N/A"/>
    <m/>
    <m/>
    <m/>
    <s v="SELL"/>
    <n v="3889"/>
    <n v="3889"/>
    <s v="2.742"/>
    <s v="10663.638"/>
    <s v="10641.31072"/>
    <s v="21.327276"/>
    <s v="0"/>
    <s v="1"/>
    <s v="GBP"/>
    <s v="GBP"/>
    <n v="10641.31072"/>
  </r>
  <r>
    <x v="1"/>
    <d v="2019-07-08T00:00:00.000"/>
    <s v="3000290"/>
    <s v="000570"/>
    <s v="Confirmed"/>
    <s v="N"/>
    <x v="3"/>
    <d v="2019-07-05T00:00:00.000"/>
    <d v="1899-12-30T16:22:00.000"/>
    <d v="2019-07-09T00:00:00.000"/>
    <s v="EQ"/>
    <m/>
    <s v="BFYF629"/>
    <s v="GB00BFYF6298"/>
    <s v="KNIGHTS GROUP HOLDINGS PLC"/>
    <s v="N"/>
    <s v="N"/>
    <s v="N/A"/>
    <m/>
    <m/>
    <m/>
    <s v="SELL"/>
    <n v="33000"/>
    <n v="33000"/>
    <s v="2.7"/>
    <s v="89100"/>
    <s v="88920.8"/>
    <s v="178.2"/>
    <s v="0"/>
    <s v="1"/>
    <s v="GBP"/>
    <s v="GBP"/>
    <n v="88920.8"/>
  </r>
  <r>
    <x v="2"/>
    <d v="2019-07-08T00:00:00.000"/>
    <s v="3000292"/>
    <s v="000143"/>
    <s v="Confirmed"/>
    <s v="N"/>
    <x v="2"/>
    <d v="2019-07-05T00:00:00.000"/>
    <d v="1899-12-30T15:15:00.000"/>
    <d v="2019-07-09T00:00:00.000"/>
    <s v="EQ"/>
    <m/>
    <s v="B031076"/>
    <s v="GB00B0310763"/>
    <s v="CELLO HEALTH PLC"/>
    <s v="N"/>
    <s v="N"/>
    <s v="N/A"/>
    <m/>
    <m/>
    <m/>
    <s v="BUY"/>
    <n v="5500"/>
    <n v="5500"/>
    <s v="1.16"/>
    <s v="6380"/>
    <s v="6392.76"/>
    <s v="12.76"/>
    <s v="0"/>
    <s v="0"/>
    <s v="GBP"/>
    <s v="GBP"/>
    <n v="6392.76"/>
  </r>
  <r>
    <x v="1"/>
    <d v="2019-07-09T00:00:00.000"/>
    <s v="3000290"/>
    <s v="000571"/>
    <s v="Confirmed"/>
    <s v="N"/>
    <x v="3"/>
    <d v="2019-07-08T00:00:00.000"/>
    <d v="1899-12-30T16:26:28.000"/>
    <d v="2019-07-10T00:00:00.000"/>
    <s v="EQ"/>
    <m/>
    <s v="BFYF629"/>
    <s v="GB00BFYF6298"/>
    <s v="KNIGHTS GROUP HOLDINGS PLC"/>
    <s v="N"/>
    <s v="N"/>
    <s v="N/A"/>
    <m/>
    <m/>
    <m/>
    <s v="SELL"/>
    <n v="8000"/>
    <n v="8000"/>
    <s v="2.7"/>
    <s v="21600"/>
    <s v="21555.8"/>
    <s v="43.2"/>
    <s v="0"/>
    <s v="1"/>
    <s v="GBP"/>
    <s v="GBP"/>
    <n v="21555.8"/>
  </r>
  <r>
    <x v="1"/>
    <d v="2019-07-09T00:00:00.000"/>
    <s v="3000290"/>
    <s v="000572"/>
    <s v="Confirmed"/>
    <s v="N"/>
    <x v="4"/>
    <d v="2019-07-08T00:00:00.000"/>
    <d v="1899-12-30T16:44:09.000"/>
    <d v="2019-07-10T00:00:00.000"/>
    <s v="EQ"/>
    <m/>
    <s v="B196F55"/>
    <s v="GB00B196F554"/>
    <s v="AVATION PLC"/>
    <s v="N"/>
    <s v="N"/>
    <s v="N/A"/>
    <m/>
    <m/>
    <m/>
    <s v="SELL"/>
    <n v="25000"/>
    <n v="25000"/>
    <s v="2.74"/>
    <s v="68500"/>
    <s v="68362"/>
    <s v="137"/>
    <s v="0"/>
    <s v="1"/>
    <s v="GBP"/>
    <s v="GBP"/>
    <n v="68362"/>
  </r>
  <r>
    <x v="1"/>
    <d v="2019-07-10T00:00:00.000"/>
    <s v="3000290"/>
    <s v="000572"/>
    <s v="Confirmed"/>
    <s v="N"/>
    <x v="6"/>
    <d v="2019-07-09T00:00:00.000"/>
    <d v="1899-12-30T08:13:00.000"/>
    <d v="2019-07-11T00:00:00.000"/>
    <s v="EQ"/>
    <m/>
    <s v="BYX1P35"/>
    <s v="GB00BYX1P358"/>
    <s v="TATTON ASSET MANAGEMENT PLC"/>
    <s v="N"/>
    <s v="N"/>
    <s v="N/A"/>
    <m/>
    <m/>
    <m/>
    <s v="BUY"/>
    <n v="16300"/>
    <n v="16300"/>
    <s v="2.16"/>
    <s v="35208"/>
    <s v="35279.416"/>
    <s v="70.416"/>
    <s v="0"/>
    <s v="1"/>
    <s v="GBP"/>
    <s v="GBP"/>
    <n v="35279.416"/>
  </r>
  <r>
    <x v="1"/>
    <d v="2019-07-10T00:00:00.000"/>
    <s v="3000290"/>
    <s v="000573"/>
    <s v="Confirmed"/>
    <s v="N"/>
    <x v="12"/>
    <d v="2019-07-09T00:00:00.000"/>
    <d v="1899-12-30T11:00:45.000"/>
    <d v="2019-07-11T00:00:00.000"/>
    <s v="EQ"/>
    <m/>
    <s v="BD6P7Y2"/>
    <s v="GB00BD6P7Y24"/>
    <s v="FRANCHISE BRANDS PLC"/>
    <s v="N"/>
    <s v="N"/>
    <s v="N/A"/>
    <m/>
    <m/>
    <m/>
    <s v="BUY"/>
    <n v="105000"/>
    <n v="105000"/>
    <s v="0.83"/>
    <s v="87150"/>
    <s v="87325.3"/>
    <s v="174.3"/>
    <s v="0"/>
    <s v="1"/>
    <s v="GBP"/>
    <s v="GBP"/>
    <n v="87325.3"/>
  </r>
  <r>
    <x v="1"/>
    <d v="2019-07-10T00:00:00.000"/>
    <s v="3000290"/>
    <s v="000574"/>
    <s v="Confirmed"/>
    <s v="N"/>
    <x v="12"/>
    <d v="2019-07-09T00:00:00.000"/>
    <d v="1899-12-30T16:28:43.000"/>
    <d v="2019-07-11T00:00:00.000"/>
    <s v="EQ"/>
    <m/>
    <s v="_x0009_BFYF629"/>
    <s v="GB00BFYF6298"/>
    <s v="KNIGHTS GROUP HOLDINGS PLC"/>
    <s v="N"/>
    <s v="N"/>
    <s v="N/A"/>
    <m/>
    <m/>
    <m/>
    <s v="SELL"/>
    <n v="65000"/>
    <n v="65000"/>
    <s v="2.8238462"/>
    <s v="183550.003"/>
    <s v="183181.903"/>
    <s v="367.100006"/>
    <s v="0"/>
    <s v="1"/>
    <s v="GBP"/>
    <s v="GBP"/>
    <n v="183181.903"/>
  </r>
  <r>
    <x v="0"/>
    <d v="2019-07-10T00:00:00.000"/>
    <s v="3000291"/>
    <s v="000497"/>
    <s v="Confirmed"/>
    <s v="N"/>
    <x v="6"/>
    <d v="2019-07-09T00:00:00.000"/>
    <d v="1899-12-30T08:13:00.000"/>
    <d v="2019-07-11T00:00:00.000"/>
    <s v="EQ"/>
    <m/>
    <s v="BYX1P35"/>
    <s v="GB00BYX1P358"/>
    <s v="TATTON ASSET MANAGEMENT PLC"/>
    <s v="N"/>
    <s v="N"/>
    <s v="N/A"/>
    <m/>
    <m/>
    <m/>
    <s v="BUY"/>
    <n v="3700"/>
    <n v="3700"/>
    <s v="2.16"/>
    <s v="7992"/>
    <s v="8007.984"/>
    <s v="15.984"/>
    <s v="0"/>
    <s v="0"/>
    <s v="GBP"/>
    <s v="GBP"/>
    <n v="8007.984"/>
  </r>
  <r>
    <x v="1"/>
    <d v="2019-07-11T00:00:00.000"/>
    <s v="3000290"/>
    <s v="000575"/>
    <s v="Confirmed"/>
    <s v="N"/>
    <x v="12"/>
    <d v="2019-07-10T00:00:00.000"/>
    <d v="1899-12-30T16:03:07.000"/>
    <d v="2019-07-12T00:00:00.000"/>
    <s v="EQ"/>
    <m/>
    <s v="_x0009_BFYF629"/>
    <s v="GB00BFYF6298"/>
    <s v="KNIGHTS GROUP HOLDINGS PLC"/>
    <s v="N"/>
    <s v="N"/>
    <s v="N/A"/>
    <m/>
    <m/>
    <m/>
    <s v="SELL"/>
    <n v="10000"/>
    <n v="10000"/>
    <s v="2.82"/>
    <s v="28200"/>
    <s v="28142.6"/>
    <s v="56.4"/>
    <s v="0"/>
    <s v="1"/>
    <s v="GBP"/>
    <s v="GBP"/>
    <n v="28142.6"/>
  </r>
  <r>
    <x v="1"/>
    <d v="2019-07-11T00:00:00.000"/>
    <s v="3000290"/>
    <s v="000576"/>
    <s v="Confirmed"/>
    <s v="N"/>
    <x v="4"/>
    <d v="2019-07-10T00:00:00.000"/>
    <d v="1899-12-30T16:43:52.000"/>
    <d v="2019-07-12T00:00:00.000"/>
    <s v="EQ"/>
    <m/>
    <s v="B196F55"/>
    <s v="GB00B196F554"/>
    <s v="AVATION PLC"/>
    <s v="N"/>
    <s v="N"/>
    <s v="N/A"/>
    <m/>
    <m/>
    <m/>
    <s v="SELL"/>
    <n v="5000"/>
    <n v="5000"/>
    <s v="2.74"/>
    <s v="13700"/>
    <s v="13671.6"/>
    <s v="27.4"/>
    <s v="0"/>
    <s v="1"/>
    <s v="GBP"/>
    <s v="GBP"/>
    <n v="13671.6"/>
  </r>
  <r>
    <x v="1"/>
    <d v="2019-07-12T00:00:00.000"/>
    <s v="3000290"/>
    <s v="000577"/>
    <s v="Confirmed"/>
    <s v="N"/>
    <x v="6"/>
    <d v="2019-07-11T00:00:00.000"/>
    <d v="1899-12-30T11:43:00.000"/>
    <d v="2019-07-15T00:00:00.000"/>
    <s v="EQ"/>
    <m/>
    <s v="_x0009_BYX1P35"/>
    <s v="GB00BYX1P358"/>
    <s v="TATTON ASSET MANAGEMENT PLC"/>
    <s v="N"/>
    <s v="N"/>
    <s v="N/A"/>
    <m/>
    <m/>
    <m/>
    <s v="BUY"/>
    <n v="57000"/>
    <n v="57000"/>
    <s v="2.16"/>
    <s v="123120"/>
    <s v="123367.24"/>
    <s v="246.24"/>
    <s v="0"/>
    <s v="1"/>
    <s v="GBP"/>
    <s v="GBP"/>
    <n v="123367.24"/>
  </r>
  <r>
    <x v="1"/>
    <d v="2019-07-12T00:00:00.000"/>
    <s v="3000290"/>
    <s v="000578"/>
    <s v="Confirmed"/>
    <s v="N"/>
    <x v="3"/>
    <d v="2019-07-11T00:00:00.000"/>
    <d v="1899-12-30T16:37:53.000"/>
    <d v="2019-07-15T00:00:00.000"/>
    <s v="EQ"/>
    <m/>
    <s v="BFYF629"/>
    <s v="_x0009_GB00BFYF6298"/>
    <s v="KNIGHTS GROUP HOLDINGS PLC"/>
    <s v="N"/>
    <s v="N"/>
    <s v="N/A"/>
    <m/>
    <m/>
    <m/>
    <s v="SELL"/>
    <n v="200000"/>
    <n v="200000"/>
    <s v="2.82"/>
    <s v="564000"/>
    <s v="562871"/>
    <s v="1128"/>
    <s v="0"/>
    <s v="1"/>
    <s v="GBP"/>
    <s v="GBP"/>
    <n v="562871"/>
  </r>
  <r>
    <x v="1"/>
    <d v="2019-07-12T00:00:00.000"/>
    <s v="3000290"/>
    <s v="000579"/>
    <s v="Confirmed"/>
    <s v="N"/>
    <x v="4"/>
    <d v="2019-07-11T00:00:00.000"/>
    <d v="1899-12-30T16:40:17.000"/>
    <d v="2019-07-15T00:00:00.000"/>
    <s v="EQ"/>
    <m/>
    <s v="B196F55"/>
    <s v="GB00B196F554"/>
    <s v="AVATION PLC"/>
    <s v="N"/>
    <s v="N"/>
    <s v="N/A"/>
    <m/>
    <m/>
    <m/>
    <s v="SELL"/>
    <n v="10000"/>
    <n v="10000"/>
    <s v="2.74"/>
    <s v="27400"/>
    <s v="27344.2"/>
    <s v="54.8"/>
    <s v="0"/>
    <s v="1"/>
    <s v="GBP"/>
    <s v="GBP"/>
    <n v="27344.2"/>
  </r>
  <r>
    <x v="0"/>
    <d v="2019-07-12T00:00:00.000"/>
    <s v="3000291"/>
    <s v="000498"/>
    <s v="Confirmed"/>
    <s v="N"/>
    <x v="6"/>
    <d v="2019-07-11T00:00:00.000"/>
    <d v="1899-12-30T11:43:00.000"/>
    <d v="2019-07-15T00:00:00.000"/>
    <s v="EQ"/>
    <m/>
    <s v="BYX1P35"/>
    <s v="GB00BYX1P358"/>
    <s v="TATTON ASSET MANAGEMENT PLC"/>
    <s v="N"/>
    <s v="N"/>
    <s v="N/A"/>
    <m/>
    <m/>
    <m/>
    <s v="BUY"/>
    <n v="13000"/>
    <n v="13000"/>
    <s v="2.16"/>
    <s v="28080"/>
    <s v="28137.16"/>
    <s v="56.16"/>
    <s v="0"/>
    <s v="1"/>
    <s v="GBP"/>
    <s v="GBP"/>
    <n v="28137.16"/>
  </r>
  <r>
    <x v="1"/>
    <d v="2019-07-16T00:00:00.000"/>
    <s v="3000290"/>
    <s v="000580"/>
    <s v="Confirmed"/>
    <s v="N"/>
    <x v="7"/>
    <d v="2019-06-27T00:00:00.000"/>
    <d v="1899-12-30T16:00:00.000"/>
    <d v="2019-07-16T00:00:00.000"/>
    <s v="EQ"/>
    <m/>
    <s v="B040L80"/>
    <s v="GB00B040L800"/>
    <s v="STAFFLINE GROUP PLC"/>
    <s v="N"/>
    <s v="Y"/>
    <s v="N"/>
    <m/>
    <m/>
    <m/>
    <s v="BUY"/>
    <n v="2069000"/>
    <n v="2069000"/>
    <s v="1"/>
    <s v="2069000"/>
    <s v="2069000"/>
    <s v="0"/>
    <s v="0"/>
    <s v="0"/>
    <s v="GBP"/>
    <s v="GBP"/>
    <n v="2069000"/>
  </r>
  <r>
    <x v="1"/>
    <d v="2019-07-16T00:00:00.000"/>
    <s v="3000290"/>
    <s v="000581"/>
    <s v="Confirmed"/>
    <s v="N"/>
    <x v="12"/>
    <d v="2019-07-15T00:00:00.000"/>
    <d v="1899-12-30T16:35:30.000"/>
    <d v="2019-07-17T00:00:00.000"/>
    <s v="EQ"/>
    <m/>
    <s v="BLBP4Y2"/>
    <s v="GB00BLBP4Y22"/>
    <s v="IMIMOBILE PLC"/>
    <s v="N"/>
    <s v="N"/>
    <s v="N/A"/>
    <m/>
    <m/>
    <m/>
    <s v="SELL"/>
    <n v="650000"/>
    <n v="650000"/>
    <s v="3.25"/>
    <s v="2112500"/>
    <s v="2108274"/>
    <s v="4225"/>
    <s v="0"/>
    <s v="1"/>
    <s v="GBP"/>
    <s v="GBP"/>
    <n v="2108274"/>
  </r>
  <r>
    <x v="1"/>
    <d v="2019-07-16T00:00:00.000"/>
    <s v="3000290"/>
    <s v="000582"/>
    <s v="Confirmed"/>
    <s v="N"/>
    <x v="12"/>
    <d v="2019-07-15T00:00:00.000"/>
    <d v="1899-12-30T16:23:07.000"/>
    <d v="2019-07-17T00:00:00.000"/>
    <s v="EQ"/>
    <m/>
    <s v="BFZZM64"/>
    <s v="GB00BFZZM640"/>
    <s v="S4 CAPITAL PLC"/>
    <s v="N"/>
    <s v="N"/>
    <s v="N/A"/>
    <m/>
    <m/>
    <m/>
    <s v="SELL"/>
    <n v="75000"/>
    <n v="75000"/>
    <s v="1.6"/>
    <s v="120000"/>
    <s v="119759"/>
    <s v="240"/>
    <s v="0"/>
    <s v="1"/>
    <s v="GBP"/>
    <s v="GBP"/>
    <n v="119759"/>
  </r>
  <r>
    <x v="1"/>
    <d v="2019-07-16T00:00:00.000"/>
    <s v="3000290"/>
    <s v="000583"/>
    <s v="Confirmed"/>
    <s v="N"/>
    <x v="12"/>
    <d v="2019-07-15T00:00:00.000"/>
    <d v="1899-12-30T13:57:26.000"/>
    <d v="2019-07-17T00:00:00.000"/>
    <s v="EQ"/>
    <m/>
    <s v="_x0009_B196F55"/>
    <s v="GB00B196F554"/>
    <s v="AVATION PLC"/>
    <s v="N"/>
    <s v="N"/>
    <s v="N/A"/>
    <m/>
    <m/>
    <m/>
    <s v="SELL"/>
    <n v="50000"/>
    <n v="50000"/>
    <s v="2.725"/>
    <s v="136250"/>
    <s v="135976.5"/>
    <s v="272.5"/>
    <s v="0"/>
    <s v="1"/>
    <s v="GBP"/>
    <s v="GBP"/>
    <n v="135976.5"/>
  </r>
  <r>
    <x v="2"/>
    <d v="2019-07-16T00:00:00.000"/>
    <s v="3000292"/>
    <s v="000144"/>
    <s v="Confirmed"/>
    <s v="N"/>
    <x v="7"/>
    <d v="2019-06-27T00:00:00.000"/>
    <d v="1899-12-30T16:00:00.000"/>
    <d v="2019-07-16T00:00:00.000"/>
    <s v="EQ"/>
    <m/>
    <s v="B040L80"/>
    <s v="GB00B040L800"/>
    <s v="STAFFLINE GROUP PLC"/>
    <s v="N"/>
    <s v="Y"/>
    <s v="N"/>
    <m/>
    <m/>
    <m/>
    <s v="BUY"/>
    <n v="53200"/>
    <n v="53200"/>
    <s v="1"/>
    <s v="53200"/>
    <s v="53200"/>
    <s v="0"/>
    <s v="0"/>
    <s v="0"/>
    <s v="GBP"/>
    <s v="GBP"/>
    <n v="53200"/>
  </r>
  <r>
    <x v="1"/>
    <d v="2019-07-17T00:00:00.000"/>
    <s v="3000290"/>
    <s v="000584"/>
    <s v="Confirmed"/>
    <s v="N"/>
    <x v="3"/>
    <d v="2019-07-16T00:00:00.000"/>
    <d v="1899-12-30T14:22:11.000"/>
    <d v="2019-07-18T00:00:00.000"/>
    <s v="EQ"/>
    <m/>
    <s v="BN7ZCY6"/>
    <s v="GB00BN7ZCY67"/>
    <s v="ERGOMED PLC"/>
    <s v="N"/>
    <s v="N"/>
    <s v="N/A"/>
    <m/>
    <m/>
    <m/>
    <s v="SELL"/>
    <n v="900000"/>
    <n v="900000"/>
    <s v="2.73"/>
    <s v="2457000"/>
    <s v="2452085"/>
    <s v="4914"/>
    <s v="0"/>
    <s v="1"/>
    <s v="GBP"/>
    <s v="GBP"/>
    <n v="2452085"/>
  </r>
  <r>
    <x v="1"/>
    <d v="2019-07-17T00:00:00.000"/>
    <s v="3000290"/>
    <s v="000585"/>
    <s v="Confirmed"/>
    <s v="N"/>
    <x v="3"/>
    <d v="2019-07-16T00:00:00.000"/>
    <d v="1899-12-30T14:29:19.000"/>
    <d v="2019-07-18T00:00:00.000"/>
    <s v="EQ"/>
    <m/>
    <s v="BFYF629"/>
    <s v="GB00BFYF6298"/>
    <s v="KNIGHTS GROUP HOLDINGS PLC"/>
    <s v="N"/>
    <s v="N"/>
    <s v="N/A"/>
    <m/>
    <m/>
    <m/>
    <s v="SELL"/>
    <n v="58000"/>
    <n v="58000"/>
    <s v="2.9"/>
    <s v="168200"/>
    <s v="167862.6"/>
    <s v="336.4"/>
    <s v="0"/>
    <s v="1"/>
    <s v="GBP"/>
    <s v="GBP"/>
    <n v="167862.6"/>
  </r>
  <r>
    <x v="1"/>
    <d v="2019-07-17T00:00:00.000"/>
    <s v="3000290"/>
    <s v="000586"/>
    <s v="Confirmed"/>
    <s v="N"/>
    <x v="7"/>
    <d v="2019-07-16T00:00:00.000"/>
    <d v="1899-12-30T14:41:00.000"/>
    <d v="2019-07-18T00:00:00.000"/>
    <s v="EQ"/>
    <m/>
    <s v="BF3SQB8"/>
    <s v="GB00BF3SQB83"/>
    <s v="MIND GYM PLC"/>
    <s v="N"/>
    <s v="N"/>
    <s v="N/A"/>
    <m/>
    <m/>
    <m/>
    <s v="SELL"/>
    <n v="50000"/>
    <n v="50000"/>
    <s v="1.18"/>
    <s v="59000"/>
    <s v="58881"/>
    <s v="118"/>
    <s v="0"/>
    <s v="1"/>
    <s v="GBP"/>
    <s v="GBP"/>
    <n v="58881"/>
  </r>
  <r>
    <x v="1"/>
    <d v="2019-07-17T00:00:00.000"/>
    <s v="3000290"/>
    <s v="000587"/>
    <s v="Confirmed"/>
    <s v="N"/>
    <x v="7"/>
    <d v="2019-07-16T00:00:00.000"/>
    <d v="1899-12-30T16:24:00.000"/>
    <d v="2019-07-18T00:00:00.000"/>
    <s v="EQ"/>
    <m/>
    <s v="BF3SQB8"/>
    <s v="GB00BF3SQB83"/>
    <s v="MIND GYM PLC"/>
    <s v="N"/>
    <s v="N"/>
    <s v="N/A"/>
    <m/>
    <m/>
    <m/>
    <s v="SELL"/>
    <n v="370000"/>
    <n v="370000"/>
    <s v="1.18"/>
    <s v="436600"/>
    <s v="435725.8"/>
    <s v="873.2"/>
    <s v="0"/>
    <s v="1"/>
    <s v="GBP"/>
    <s v="GBP"/>
    <n v="435725.8"/>
  </r>
  <r>
    <x v="1"/>
    <d v="2019-07-17T00:00:00.000"/>
    <s v="3000290"/>
    <s v="000588"/>
    <s v="Confirmed"/>
    <s v="N"/>
    <x v="4"/>
    <d v="2019-07-16T00:00:00.000"/>
    <d v="1899-12-30T16:35:00.000"/>
    <d v="2019-07-18T00:00:00.000"/>
    <s v="EQ"/>
    <m/>
    <s v="_x0009_B196F55"/>
    <s v="GB00B196F554"/>
    <s v="AVATION PLC"/>
    <s v="N"/>
    <s v="N"/>
    <s v="N/A"/>
    <m/>
    <m/>
    <m/>
    <s v="SELL"/>
    <n v="10000"/>
    <n v="10000"/>
    <s v="2.74"/>
    <s v="27400"/>
    <s v="27344.2"/>
    <s v="54.8"/>
    <s v="0"/>
    <s v="1"/>
    <s v="GBP"/>
    <s v="GBP"/>
    <n v="27344.2"/>
  </r>
  <r>
    <x v="1"/>
    <d v="2019-07-17T00:00:00.000"/>
    <s v="3000290"/>
    <s v="000589"/>
    <s v="Confirmed"/>
    <s v="N"/>
    <x v="4"/>
    <d v="2019-07-16T00:00:00.000"/>
    <d v="1899-12-30T16:41:24.000"/>
    <d v="2019-07-18T00:00:00.000"/>
    <s v="EQ"/>
    <m/>
    <s v="_x0009_B196F55"/>
    <s v="GB00B196F554"/>
    <s v="AVATION PLC"/>
    <s v="N"/>
    <s v="N"/>
    <s v="N/A"/>
    <m/>
    <m/>
    <m/>
    <s v="SELL"/>
    <n v="5000"/>
    <n v="5000"/>
    <s v="2.74"/>
    <s v="13700"/>
    <s v="13671.6"/>
    <s v="27.4"/>
    <s v="0"/>
    <s v="1"/>
    <s v="GBP"/>
    <s v="GBP"/>
    <n v="13671.6"/>
  </r>
  <r>
    <x v="1"/>
    <d v="2019-07-22T00:00:00.000"/>
    <s v="3000290"/>
    <s v="000590"/>
    <s v="Confirmed"/>
    <s v="N"/>
    <x v="16"/>
    <d v="2019-07-19T00:00:00.000"/>
    <d v="1899-12-30T13:06:00.000"/>
    <d v="2019-07-23T00:00:00.000"/>
    <s v="EQ"/>
    <m/>
    <s v="_x0009_B196F55"/>
    <s v="GB00B196F554"/>
    <s v="AVATION PLC"/>
    <s v="N"/>
    <s v="N"/>
    <s v="N/A"/>
    <m/>
    <m/>
    <m/>
    <s v="SELL"/>
    <n v="639761"/>
    <n v="639761"/>
    <s v="2.72"/>
    <s v="1740149.92"/>
    <s v="1736668.62"/>
    <s v="3480.29984"/>
    <s v="0"/>
    <s v="1"/>
    <s v="GBP"/>
    <s v="GBP"/>
    <n v="1736668.62"/>
  </r>
  <r>
    <x v="1"/>
    <d v="2019-07-22T00:00:00.000"/>
    <s v="3000290"/>
    <s v="000591"/>
    <s v="Confirmed"/>
    <s v="N"/>
    <x v="12"/>
    <d v="2019-07-19T00:00:00.000"/>
    <d v="1899-12-30T11:01:00.000"/>
    <d v="2019-07-23T00:00:00.000"/>
    <s v="EQ"/>
    <m/>
    <s v="_x0009_B196F55"/>
    <s v="GB00B196F554"/>
    <s v="AVATION PLC"/>
    <s v="N"/>
    <s v="N"/>
    <s v="N/A"/>
    <m/>
    <m/>
    <m/>
    <s v="SELL"/>
    <n v="40000"/>
    <n v="40000"/>
    <s v="2.7175"/>
    <s v="108700"/>
    <s v="108481.6"/>
    <s v="217.4"/>
    <s v="0"/>
    <s v="1"/>
    <s v="GBP"/>
    <s v="GBP"/>
    <n v="108481.6"/>
  </r>
  <r>
    <x v="2"/>
    <d v="2019-07-22T00:00:00.000"/>
    <s v="3000292"/>
    <s v="000145"/>
    <s v="Confirmed"/>
    <s v="N"/>
    <x v="12"/>
    <d v="2019-07-22T00:00:00.000"/>
    <d v="1899-12-30T10:00:46.000"/>
    <d v="2019-07-24T00:00:00.000"/>
    <s v="EQ"/>
    <m/>
    <s v="BFZZM64"/>
    <s v="GB00BFZZM640"/>
    <s v="S4 CAPITAL PLC"/>
    <s v="N"/>
    <s v="N"/>
    <s v="N/A"/>
    <m/>
    <m/>
    <m/>
    <s v="BUY"/>
    <n v="33300"/>
    <n v="33300"/>
    <s v="1.595"/>
    <s v="53113.5"/>
    <s v="53486.827"/>
    <s v="106.227"/>
    <s v="0"/>
    <s v="267.1"/>
    <s v="GBP"/>
    <s v="GBP"/>
    <n v="53486.827"/>
  </r>
  <r>
    <x v="2"/>
    <d v="2019-07-22T00:00:00.000"/>
    <s v="3000292"/>
    <s v="000146"/>
    <s v="Confirmed"/>
    <s v="N"/>
    <x v="12"/>
    <d v="2019-07-22T00:00:00.000"/>
    <d v="1899-12-30T10:00:37.000"/>
    <d v="2019-07-24T00:00:00.000"/>
    <s v="EQ"/>
    <m/>
    <s v="0929666"/>
    <s v="GB0009296665"/>
    <s v="THE VITEC GROUP PLC"/>
    <s v="N"/>
    <s v="N"/>
    <s v="N/A"/>
    <m/>
    <m/>
    <m/>
    <s v="BUY"/>
    <n v="2200"/>
    <n v="2200"/>
    <s v="10.75"/>
    <s v="23650"/>
    <s v="23816.79"/>
    <s v="47.3"/>
    <s v="0"/>
    <s v="119.49"/>
    <s v="GBP"/>
    <s v="GBP"/>
    <n v="23816.79"/>
  </r>
  <r>
    <x v="2"/>
    <d v="2019-07-22T00:00:00.000"/>
    <s v="3000292"/>
    <s v="000147"/>
    <s v="Confirmed"/>
    <s v="N"/>
    <x v="12"/>
    <d v="2019-07-22T00:00:00.000"/>
    <d v="1899-12-30T10:01:18.000"/>
    <d v="2019-07-24T00:00:00.000"/>
    <s v="EQ"/>
    <m/>
    <s v="BDB7J92"/>
    <s v="GB00BDB7J920"/>
    <s v="FILTA GROUP HOLDINGS PLC"/>
    <s v="N"/>
    <s v="N"/>
    <s v="N/A"/>
    <m/>
    <m/>
    <m/>
    <s v="BUY"/>
    <n v="18500"/>
    <n v="18500"/>
    <s v="1.88"/>
    <s v="34780"/>
    <s v="34850.56"/>
    <s v="69.56"/>
    <s v="0"/>
    <s v="1"/>
    <s v="GBP"/>
    <s v="GBP"/>
    <n v="34850.56"/>
  </r>
  <r>
    <x v="1"/>
    <d v="2019-07-23T00:00:00.000"/>
    <s v="3000290"/>
    <s v="000592"/>
    <s v="Confirmed"/>
    <s v="N"/>
    <x v="12"/>
    <d v="2019-07-22T00:00:00.000"/>
    <d v="1899-12-30T16:38:53.000"/>
    <d v="2019-07-24T00:00:00.000"/>
    <s v="EQ"/>
    <m/>
    <s v="BDDN1T2"/>
    <s v="GB00BDDN1T20"/>
    <s v="XPS PENSIONS GROUP PLC"/>
    <s v="N"/>
    <s v="N"/>
    <s v="N/A"/>
    <m/>
    <m/>
    <m/>
    <s v="BUY"/>
    <n v="480000"/>
    <n v="480000"/>
    <s v="1.0979167"/>
    <s v="527000.016"/>
    <s v="530695.286"/>
    <s v="1054.000032"/>
    <s v="0"/>
    <s v="2641.27"/>
    <s v="GBP"/>
    <s v="GBP"/>
    <n v="530695.286"/>
  </r>
  <r>
    <x v="0"/>
    <d v="2019-07-23T00:00:00.000"/>
    <s v="3000291"/>
    <s v="000499"/>
    <s v="Confirmed"/>
    <s v="N"/>
    <x v="12"/>
    <d v="2019-07-22T00:00:00.000"/>
    <d v="1899-12-30T16:38:53.000"/>
    <d v="2019-07-24T00:00:00.000"/>
    <s v="EQ"/>
    <m/>
    <s v="BDDN1T2"/>
    <s v="GB00BDDN1T20"/>
    <s v="XPS PENSIONS GROUP PLC"/>
    <s v="N"/>
    <s v="N"/>
    <s v="N/A"/>
    <m/>
    <m/>
    <m/>
    <s v="BUY"/>
    <n v="108000"/>
    <n v="108000"/>
    <s v="1.0979167"/>
    <s v="118575.0036"/>
    <s v="119407.2136"/>
    <s v="237.1500072"/>
    <s v="0"/>
    <s v="595.06"/>
    <s v="GBP"/>
    <s v="GBP"/>
    <n v="119407.2136"/>
  </r>
  <r>
    <x v="2"/>
    <d v="2019-07-23T00:00:00.000"/>
    <s v="3000292"/>
    <s v="000148"/>
    <s v="Confirmed"/>
    <s v="N"/>
    <x v="2"/>
    <d v="2019-07-22T00:00:00.000"/>
    <d v="1899-12-30T15:39:00.000"/>
    <d v="2019-07-24T00:00:00.000"/>
    <s v="EQ"/>
    <m/>
    <s v="B5NR1S7"/>
    <s v="GB00B5NR1S72"/>
    <s v="RESTORE PLC"/>
    <s v="N"/>
    <s v="N"/>
    <s v="N/A"/>
    <m/>
    <m/>
    <m/>
    <s v="SELL"/>
    <n v="4000"/>
    <n v="4000"/>
    <s v="4"/>
    <s v="16000"/>
    <s v="15967"/>
    <s v="32"/>
    <s v="0"/>
    <s v="1"/>
    <s v="GBP"/>
    <s v="GBP"/>
    <n v="15967"/>
  </r>
  <r>
    <x v="2"/>
    <d v="2019-07-23T00:00:00.000"/>
    <s v="3000292"/>
    <s v="000149"/>
    <s v="Confirmed"/>
    <s v="N"/>
    <x v="12"/>
    <d v="2019-07-22T00:00:00.000"/>
    <d v="1899-12-30T16:38:53.000"/>
    <d v="2019-07-24T00:00:00.000"/>
    <s v="EQ"/>
    <m/>
    <s v="BDDN1T2"/>
    <s v="GB00BDDN1T20"/>
    <s v="XPS PENSIONS GROUP PLC"/>
    <s v="N"/>
    <s v="N"/>
    <s v="N/A"/>
    <m/>
    <m/>
    <m/>
    <s v="BUY"/>
    <n v="12000"/>
    <n v="12000"/>
    <s v="1.0979167"/>
    <s v="13175.0004"/>
    <s v="13268.3604"/>
    <s v="26.3500008"/>
    <s v="0"/>
    <s v="67.01"/>
    <s v="GBP"/>
    <s v="GBP"/>
    <n v="13268.3604"/>
  </r>
  <r>
    <x v="2"/>
    <d v="2019-07-24T00:00:00.000"/>
    <s v="3000292"/>
    <s v="000150"/>
    <s v="Confirmed"/>
    <s v="N"/>
    <x v="2"/>
    <d v="2019-07-23T00:00:00.000"/>
    <d v="1899-12-30T14:53:00.000"/>
    <d v="2019-07-25T00:00:00.000"/>
    <s v="EQ"/>
    <m/>
    <s v="B5NR1S7"/>
    <s v="GB00B5NR1S72"/>
    <s v="RESTORE PLC"/>
    <s v="N"/>
    <s v="N"/>
    <s v="N/A"/>
    <m/>
    <m/>
    <m/>
    <s v="SELL"/>
    <n v="5000"/>
    <n v="5000"/>
    <s v="3.99"/>
    <s v="19950"/>
    <s v="19909.1"/>
    <s v="39.9"/>
    <s v="0"/>
    <s v="1"/>
    <s v="GBP"/>
    <s v="GBP"/>
    <n v="19909.1"/>
  </r>
  <r>
    <x v="1"/>
    <d v="2019-07-31T00:00:00.000"/>
    <s v="3000290"/>
    <s v="000593"/>
    <s v="Confirmed"/>
    <s v="N"/>
    <x v="12"/>
    <d v="2019-07-30T00:00:00.000"/>
    <d v="1899-12-30T13:04:07.000"/>
    <d v="2019-08-01T00:00:00.000"/>
    <s v="EQ"/>
    <m/>
    <s v="BYZFM56"/>
    <s v="GB00BYZFM569"/>
    <s v="ORCHARD FUNDING GROUP PLC"/>
    <s v="N"/>
    <s v="N"/>
    <s v="N/A"/>
    <m/>
    <m/>
    <m/>
    <s v="BUY"/>
    <n v="729370"/>
    <n v="729370"/>
    <s v="0.7"/>
    <s v="510559"/>
    <s v="511581.118"/>
    <s v="1021.118"/>
    <s v="0"/>
    <s v="1"/>
    <s v="GBP"/>
    <s v="GBP"/>
    <n v="511581.118"/>
  </r>
  <r>
    <x v="0"/>
    <d v="2019-07-31T00:00:00.000"/>
    <s v="3000291"/>
    <s v="000500"/>
    <s v="Confirmed"/>
    <s v="N"/>
    <x v="12"/>
    <d v="2019-07-30T00:00:00.000"/>
    <d v="1899-12-30T13:04:07.000"/>
    <d v="2019-08-01T00:00:00.000"/>
    <s v="EQ"/>
    <m/>
    <s v="BYZFM56"/>
    <s v="GB00BYZFM569"/>
    <s v="ORCHARD FUNDING GROUP PLC"/>
    <s v="N"/>
    <s v="N"/>
    <s v="N/A"/>
    <m/>
    <m/>
    <m/>
    <s v="BUY"/>
    <n v="70630"/>
    <n v="70630"/>
    <s v="0.7"/>
    <s v="49441"/>
    <s v="49540.882"/>
    <s v="98.882"/>
    <s v="0"/>
    <s v="1"/>
    <s v="GBP"/>
    <s v="GBP"/>
    <n v="49540.882"/>
  </r>
  <r>
    <x v="1"/>
    <d v="2019-08-08T00:00:00.000"/>
    <s v="3000290"/>
    <s v="000594"/>
    <s v="Confirmed"/>
    <s v="N"/>
    <x v="12"/>
    <d v="2019-08-07T00:00:00.000"/>
    <d v="1899-12-30T15:48:20.000"/>
    <d v="2019-08-09T00:00:00.000"/>
    <s v="EQ"/>
    <m/>
    <s v="B0MT3Y9"/>
    <s v="GB00B0MT3Y97"/>
    <s v="MATTIOLI WOODS PLC"/>
    <s v="N"/>
    <s v="N"/>
    <s v="N/A"/>
    <m/>
    <m/>
    <m/>
    <s v="SELL"/>
    <n v="10000"/>
    <n v="10000"/>
    <s v="7.875"/>
    <s v="78750"/>
    <s v="78591.5"/>
    <s v="157.5"/>
    <s v="0"/>
    <s v="1"/>
    <s v="GBP"/>
    <s v="GBP"/>
    <n v="78591.5"/>
  </r>
  <r>
    <x v="1"/>
    <d v="2019-08-12T00:00:00.000"/>
    <s v="3000290"/>
    <s v="0000594"/>
    <s v="Confirmed"/>
    <s v="N"/>
    <x v="7"/>
    <d v="2019-08-09T00:00:00.000"/>
    <d v="1899-12-30T16:55:33.000"/>
    <d v="2019-08-13T00:00:00.000"/>
    <s v="Equity"/>
    <m/>
    <s v="BF3SQB8"/>
    <s v="GB00BF3SQB83"/>
    <s v="MIND"/>
    <s v="N"/>
    <s v="N"/>
    <s v="N"/>
    <m/>
    <m/>
    <m/>
    <s v="S"/>
    <n v="1292329"/>
    <n v="1292329"/>
    <s v="120"/>
    <s v="1550794.8"/>
    <s v="1550794.8"/>
    <s v="3101.59"/>
    <s v="0"/>
    <s v="1"/>
    <s v="GBP"/>
    <s v="GBP"/>
    <n v="1547692.21"/>
  </r>
  <r>
    <x v="2"/>
    <d v="2019-08-16T00:00:00.000"/>
    <s v="3000292"/>
    <s v="3513"/>
    <s v="Confirmed"/>
    <s v="N"/>
    <x v="9"/>
    <d v="2019-08-15T00:00:00.000"/>
    <d v="1899-12-30T16:01:22.000"/>
    <d v="2019-08-19T00:00:00.000"/>
    <s v="Equity"/>
    <m/>
    <s v="0371847"/>
    <s v="GB0003718474"/>
    <s v="GAW"/>
    <s v="N"/>
    <s v="N"/>
    <s v="N"/>
    <m/>
    <m/>
    <m/>
    <s v="S"/>
    <n v="315"/>
    <n v="315"/>
    <s v="4390.3175"/>
    <s v="13829.5"/>
    <s v="13829.5"/>
    <s v="27.66"/>
    <s v="0"/>
    <s v="1"/>
    <s v="GBP"/>
    <s v="GBP"/>
    <n v="13800.84"/>
  </r>
  <r>
    <x v="2"/>
    <d v="2019-08-16T00:00:00.000"/>
    <s v="3000292"/>
    <s v="3510"/>
    <s v="Confirmed"/>
    <s v="N"/>
    <x v="3"/>
    <d v="2019-08-15T00:00:00.000"/>
    <d v="1899-12-30T15:45:02.000"/>
    <d v="2019-08-19T00:00:00.000"/>
    <s v="Equity"/>
    <m/>
    <s v="BN7ZCY6"/>
    <s v="GB00BN7ZCY67"/>
    <s v="ERGO"/>
    <s v="N"/>
    <s v="N"/>
    <s v="N"/>
    <m/>
    <m/>
    <m/>
    <s v="S"/>
    <n v="7800"/>
    <n v="7800"/>
    <s v="321"/>
    <s v="25038"/>
    <s v="25038"/>
    <s v="50.08"/>
    <s v="0"/>
    <s v="1"/>
    <s v="GBP"/>
    <s v="GBP"/>
    <n v="24986.92"/>
  </r>
  <r>
    <x v="0"/>
    <d v="2019-08-19T00:00:00.000"/>
    <s v="3000291"/>
    <s v="3530"/>
    <s v="Confirmed"/>
    <s v="N"/>
    <x v="7"/>
    <d v="2019-08-16T00:00:00.000"/>
    <d v="1899-12-30T19:59:14.000"/>
    <d v="2019-08-20T00:00:00.000"/>
    <s v="Equity"/>
    <m/>
    <s v="B040L80"/>
    <s v="GB00B040L800"/>
    <s v="STAF"/>
    <s v="N"/>
    <s v="N"/>
    <s v="N/A"/>
    <m/>
    <m/>
    <m/>
    <s v="S"/>
    <n v="82086"/>
    <n v="82086"/>
    <s v="1.5"/>
    <s v="123129"/>
    <s v="122881.74"/>
    <s v="246.26"/>
    <s v="0"/>
    <s v="1"/>
    <s v="GBP"/>
    <s v="GBP"/>
    <n v="122881.74"/>
  </r>
  <r>
    <x v="0"/>
    <d v="2019-08-19T00:00:00.000"/>
    <s v="3000291"/>
    <s v="3527"/>
    <s v="Confirmed"/>
    <s v="N"/>
    <x v="12"/>
    <d v="2019-08-16T00:00:00.000"/>
    <d v="1899-12-30T19:59:05.000"/>
    <d v="2019-08-20T00:00:00.000"/>
    <s v="Equity"/>
    <m/>
    <s v="0299819"/>
    <s v="GB0002998192"/>
    <s v="IDOX"/>
    <s v="N"/>
    <s v="N"/>
    <s v="N/A"/>
    <m/>
    <m/>
    <m/>
    <s v="S"/>
    <n v="110000"/>
    <n v="110000"/>
    <s v="0.2895"/>
    <s v="31845"/>
    <s v="31780.31"/>
    <s v="63.69"/>
    <s v="0"/>
    <s v="1"/>
    <s v="GBP"/>
    <s v="GBP"/>
    <n v="31780.31"/>
  </r>
  <r>
    <x v="0"/>
    <d v="2019-08-20T00:00:00.000"/>
    <s v="3000291"/>
    <s v="3560"/>
    <s v="Confirmed"/>
    <s v="N"/>
    <x v="3"/>
    <d v="2019-08-20T00:00:00.000"/>
    <d v="1899-12-30T09:34:54.000"/>
    <d v="2019-08-22T00:00:00.000"/>
    <s v="Equity"/>
    <m/>
    <s v="BYWVDP4"/>
    <s v="GB00BYWVDP49"/>
    <s v="SBRE"/>
    <s v="N"/>
    <s v="N"/>
    <s v="N/A"/>
    <m/>
    <m/>
    <m/>
    <s v="B"/>
    <n v="69669"/>
    <n v="69669"/>
    <s v="2.67"/>
    <s v="186016.23"/>
    <s v="187321.2"/>
    <s v="372.03"/>
    <s v="0"/>
    <s v="932.94"/>
    <s v="GBP"/>
    <s v="GBP"/>
    <n v="187321.2"/>
  </r>
  <r>
    <x v="0"/>
    <d v="2019-08-20T00:00:00.000"/>
    <s v="3000291"/>
    <s v="3553"/>
    <s v="Confirmed"/>
    <s v="N"/>
    <x v="3"/>
    <d v="2019-08-19T00:00:00.000"/>
    <d v="1899-12-30T17:00:00.000"/>
    <d v="2019-08-21T00:00:00.000"/>
    <s v="Equity"/>
    <m/>
    <s v="BYWVDP4"/>
    <s v="GB00BYWVDP49"/>
    <s v="SBRE"/>
    <s v="N"/>
    <s v="N"/>
    <s v="N/A"/>
    <m/>
    <m/>
    <m/>
    <s v="B"/>
    <n v="35000"/>
    <n v="35000"/>
    <s v="2.645"/>
    <s v="92575"/>
    <s v="93224.95"/>
    <s v="185.15"/>
    <s v="0"/>
    <s v="464.8"/>
    <s v="GBP"/>
    <s v="GBP"/>
    <n v="93224.95"/>
  </r>
  <r>
    <x v="0"/>
    <d v="2019-08-21T00:00:00.000"/>
    <s v="3000291"/>
    <s v="3553/02"/>
    <s v="Confirmed"/>
    <s v="N"/>
    <x v="3"/>
    <d v="2019-08-20T00:00:00.000"/>
    <d v="1899-12-30T10:08:41.000"/>
    <d v="2019-08-22T00:00:00.000"/>
    <s v="Equity"/>
    <m/>
    <s v="BYWVDP4"/>
    <s v="GB00BYWVDP49"/>
    <s v="SBRE"/>
    <s v="N"/>
    <s v="N"/>
    <s v="N/A"/>
    <m/>
    <m/>
    <m/>
    <s v="B"/>
    <n v="35000"/>
    <n v="35000"/>
    <s v="2.645"/>
    <s v="92575"/>
    <s v="93224.95"/>
    <s v="185.15"/>
    <s v="0"/>
    <s v="464.8"/>
    <s v="GBP"/>
    <s v="GBP"/>
    <n v="93224.95"/>
  </r>
  <r>
    <x v="0"/>
    <d v="2019-08-22T00:00:00.000"/>
    <s v="3000291"/>
    <s v="3595"/>
    <s v="Confirmed"/>
    <s v="N"/>
    <x v="3"/>
    <d v="2019-08-21T00:00:00.000"/>
    <d v="1899-12-30T17:00:00.000"/>
    <d v="2019-08-23T00:00:00.000"/>
    <s v="EQ"/>
    <m/>
    <s v="3002605"/>
    <s v="GB0030026057"/>
    <s v="NFC"/>
    <s v="N"/>
    <s v="N"/>
    <s v="N/A"/>
    <m/>
    <m/>
    <m/>
    <s v="S"/>
    <n v="18910"/>
    <n v="18910"/>
    <s v="5.920127"/>
    <s v="111949.6"/>
    <s v="111724.7"/>
    <s v="223.9"/>
    <s v="0"/>
    <s v="1"/>
    <s v="GBP"/>
    <s v="GBP"/>
    <n v="111724.7"/>
  </r>
  <r>
    <x v="0"/>
    <d v="2019-08-23T00:00:00.000"/>
    <s v="3000291"/>
    <s v="0003"/>
    <s v="Confirmed"/>
    <s v="N"/>
    <x v="15"/>
    <d v="2019-08-22T00:00:00.000"/>
    <d v="1899-12-30T17:42:06.000"/>
    <d v="2019-08-27T00:00:00.000"/>
    <s v="Equity"/>
    <m/>
    <s v="BF16C05"/>
    <s v="GB00BF16C058"/>
    <s v="AFM"/>
    <s v="N"/>
    <s v="N"/>
    <s v="N/A"/>
    <m/>
    <m/>
    <m/>
    <s v="B"/>
    <n v="15000"/>
    <n v="18910"/>
    <s v="1.99"/>
    <s v="29850"/>
    <s v="29910.7"/>
    <s v="59.7"/>
    <s v="0"/>
    <s v="1"/>
    <s v="GBP"/>
    <s v="GBP"/>
    <n v="29910.7"/>
  </r>
  <r>
    <x v="2"/>
    <d v="2019-08-23T00:00:00.000"/>
    <s v="3000292"/>
    <s v="3621"/>
    <s v="Confirmed"/>
    <s v="N"/>
    <x v="12"/>
    <d v="2019-08-23T00:00:00.000"/>
    <d v="1899-12-30T08:46:08.000"/>
    <d v="2019-08-28T00:00:00.000"/>
    <s v="Equity"/>
    <m/>
    <s v="BFZZM64"/>
    <s v="GB00BFZZM640"/>
    <s v="SFOR"/>
    <s v="N"/>
    <s v="N"/>
    <s v="N/A"/>
    <m/>
    <m/>
    <m/>
    <s v="B"/>
    <n v="15500"/>
    <n v="15500"/>
    <s v="1.43"/>
    <s v="22165"/>
    <s v="22321.38"/>
    <s v="44.33"/>
    <s v="0"/>
    <s v="112.05"/>
    <s v="GBP"/>
    <s v="GBP"/>
    <n v="22321.38"/>
  </r>
  <r>
    <x v="2"/>
    <d v="2019-08-23T00:00:00.000"/>
    <s v="3000292"/>
    <s v="3624"/>
    <s v="Confirmed"/>
    <s v="N"/>
    <x v="12"/>
    <d v="2019-08-23T00:00:00.000"/>
    <d v="1899-12-30T09:02:38.000"/>
    <d v="2019-08-28T00:00:00.000"/>
    <s v="Equity"/>
    <m/>
    <s v="B031076"/>
    <s v="GB00B0310763"/>
    <s v="CLL"/>
    <s v="N"/>
    <s v="N"/>
    <s v="N/A"/>
    <m/>
    <m/>
    <m/>
    <s v="B"/>
    <n v="35500"/>
    <n v="35500"/>
    <s v="1.28"/>
    <s v="45440"/>
    <s v="45531.88"/>
    <s v="90.88"/>
    <s v="0"/>
    <s v="1"/>
    <s v="GBP"/>
    <s v="GBP"/>
    <n v="45531.88"/>
  </r>
  <r>
    <x v="0"/>
    <d v="2019-08-27T00:00:00.000"/>
    <s v="3000291"/>
    <s v="0004"/>
    <s v="Confirmed"/>
    <s v="N"/>
    <x v="15"/>
    <d v="2019-08-23T00:00:00.000"/>
    <d v="1899-12-30T17:32:36.000"/>
    <d v="2019-08-28T00:00:00.000"/>
    <s v="Equity"/>
    <m/>
    <s v="BF16C05"/>
    <s v="GB00BF16C058"/>
    <s v="AFM"/>
    <s v="N"/>
    <s v="N"/>
    <s v="N"/>
    <m/>
    <m/>
    <m/>
    <s v="B"/>
    <n v="5000"/>
    <n v="5000"/>
    <s v="1.99"/>
    <s v="9950"/>
    <s v="9969.9"/>
    <s v="19.9"/>
    <s v="0"/>
    <s v="0"/>
    <s v="GBP"/>
    <s v="GBP"/>
    <n v="9969.9"/>
  </r>
  <r>
    <x v="0"/>
    <d v="2019-08-27T00:00:00.000"/>
    <s v="3000291"/>
    <s v="0005"/>
    <s v="Confirmed"/>
    <s v="N"/>
    <x v="3"/>
    <d v="2019-08-23T00:00:00.000"/>
    <d v="1899-12-30T16:29:39.000"/>
    <d v="2019-08-28T00:00:00.000"/>
    <s v="Equity"/>
    <m/>
    <s v="3002605"/>
    <s v="GB0030026057"/>
    <s v="NFC"/>
    <s v="N"/>
    <s v="N"/>
    <s v="N"/>
    <m/>
    <m/>
    <m/>
    <s v="S"/>
    <n v="2"/>
    <n v="2"/>
    <s v="5.9"/>
    <s v="11.8"/>
    <s v="11.78"/>
    <s v="0.02"/>
    <s v="0"/>
    <s v="0"/>
    <s v="GBP"/>
    <s v="GBP"/>
    <n v="11.78"/>
  </r>
  <r>
    <x v="1"/>
    <d v="2019-08-29T00:00:00.000"/>
    <s v="3000290"/>
    <s v="0004"/>
    <s v="Confirmed"/>
    <s v="N"/>
    <x v="1"/>
    <d v="2019-08-22T00:00:00.000"/>
    <d v="1899-12-30T08:00:00.000"/>
    <d v="2019-08-29T00:00:00.000"/>
    <s v="Equity"/>
    <m/>
    <s v="BK63S75"/>
    <s v="GB00BK63S759"/>
    <s v="BRICKABILITY GROUP PLC"/>
    <s v="N"/>
    <s v="Y"/>
    <s v="N"/>
    <m/>
    <m/>
    <m/>
    <s v="B"/>
    <n v="3388899"/>
    <n v="3388899"/>
    <s v="0.65"/>
    <s v="2202784.35"/>
    <s v="2202784.35"/>
    <s v="0"/>
    <s v="0"/>
    <s v="0"/>
    <s v="GBP"/>
    <s v="GBP"/>
    <n v="2202784.35"/>
  </r>
  <r>
    <x v="1"/>
    <d v="2019-08-29T00:00:00.000"/>
    <s v="3000290"/>
    <s v="0006"/>
    <s v="Confirmed"/>
    <s v="N"/>
    <x v="12"/>
    <d v="2019-08-29T00:00:00.000"/>
    <d v="1899-12-30T09:48:06.000"/>
    <d v="2019-09-02T00:00:00.000"/>
    <s v="Equity"/>
    <m/>
    <s v="BFYF629"/>
    <s v="GB00BFYF6298"/>
    <s v="KGH"/>
    <s v="N"/>
    <s v="N"/>
    <s v="N/A"/>
    <m/>
    <m/>
    <m/>
    <s v="S"/>
    <n v="55000"/>
    <n v="55000"/>
    <s v="3.11"/>
    <s v="171050"/>
    <s v="170706.9"/>
    <s v="342.1"/>
    <s v="0"/>
    <s v="1"/>
    <s v="GBP"/>
    <s v="GBP"/>
    <n v="170706.9"/>
  </r>
  <r>
    <x v="0"/>
    <d v="2019-08-29T00:00:00.000"/>
    <s v="3000291"/>
    <s v="0007"/>
    <s v="Confirmed"/>
    <s v="N"/>
    <x v="12"/>
    <d v="2019-08-28T00:00:00.000"/>
    <d v="1899-12-30T16:34:56.000"/>
    <d v="2019-08-30T00:00:00.000"/>
    <s v="Equity"/>
    <m/>
    <s v="BDDN1T2"/>
    <s v="GB00BDDN1T20"/>
    <s v="XPS"/>
    <s v="N"/>
    <s v="N"/>
    <s v="N/A"/>
    <m/>
    <m/>
    <m/>
    <s v="B"/>
    <n v="70021"/>
    <n v="70021"/>
    <s v="1.16"/>
    <s v="81224.36"/>
    <s v="81794.73872"/>
    <s v="162.44872"/>
    <s v="0"/>
    <s v="407.93"/>
    <s v="GBP"/>
    <s v="GBP"/>
    <n v="81794.73872"/>
  </r>
  <r>
    <x v="2"/>
    <d v="2019-08-29T00:00:00.000"/>
    <s v="3000292"/>
    <s v="0005"/>
    <s v="Confirmed"/>
    <s v="N"/>
    <x v="1"/>
    <d v="2019-08-22T00:00:00.000"/>
    <d v="1899-12-30T08:00:00.000"/>
    <d v="2019-08-29T00:00:00.000"/>
    <s v="Equity"/>
    <m/>
    <s v="BK63S75"/>
    <s v="GB00BK63S759"/>
    <s v="BRICKABILITY GROUP PLC"/>
    <s v="N"/>
    <s v="Y"/>
    <s v="N"/>
    <m/>
    <m/>
    <m/>
    <s v="B"/>
    <n v="71101"/>
    <n v="71101"/>
    <s v="0.65"/>
    <s v="46215.65"/>
    <s v="46215.65"/>
    <s v="0"/>
    <s v="0"/>
    <s v="0"/>
    <s v="GBP"/>
    <s v="GBP"/>
    <n v="46215.65"/>
  </r>
  <r>
    <x v="1"/>
    <d v="2019-08-30T00:00:00.000"/>
    <s v="3000290"/>
    <s v="0008"/>
    <s v="Confirmed"/>
    <s v="N"/>
    <x v="12"/>
    <d v="2019-08-28T00:00:00.000"/>
    <d v="1899-12-30T16:30:59.000"/>
    <d v="2019-08-30T00:00:00.000"/>
    <s v="Equity"/>
    <m/>
    <s v="BFYF629"/>
    <s v="GB00BFYF6298"/>
    <s v="KGH"/>
    <s v="N"/>
    <s v="N"/>
    <s v="N/A"/>
    <m/>
    <m/>
    <m/>
    <s v="S"/>
    <n v="55000"/>
    <n v="55000"/>
    <s v="3.11"/>
    <s v="171050"/>
    <s v="170706.9"/>
    <s v="342.1"/>
    <s v="0"/>
    <s v="1"/>
    <s v="GBP"/>
    <s v="GBP"/>
    <n v="170706.9"/>
  </r>
  <r>
    <x v="0"/>
    <d v="2019-09-02T00:00:00.000"/>
    <s v="3000291"/>
    <s v="3745"/>
    <s v="Confirmed"/>
    <s v="N"/>
    <x v="3"/>
    <m/>
    <d v="1899-12-30T11:47:41.000"/>
    <d v="2019-03-09T00:00:00.000"/>
    <s v="Equity"/>
    <m/>
    <s v="3002605"/>
    <s v="GB0030026057"/>
    <s v="NFC"/>
    <s v="N"/>
    <s v="N"/>
    <s v="N/A"/>
    <m/>
    <m/>
    <m/>
    <s v="S"/>
    <n v="3"/>
    <n v="3"/>
    <s v="5.95"/>
    <s v="17.85"/>
    <s v="17.81"/>
    <s v="0.04"/>
    <s v="0"/>
    <s v="0"/>
    <s v="GBP"/>
    <s v="GBP"/>
    <n v="17.81"/>
  </r>
  <r>
    <x v="0"/>
    <d v="2019-09-04T00:00:00.000"/>
    <s v="3000291"/>
    <s v="3773"/>
    <s v="Confirmed"/>
    <s v="N"/>
    <x v="15"/>
    <d v="2019-09-03T00:00:00.000"/>
    <d v="1899-12-30T12:34:17.000"/>
    <d v="2019-09-05T00:00:00.000"/>
    <s v="Equity"/>
    <m/>
    <s v="BF16C05"/>
    <s v="GB00BF16C058"/>
    <s v="AFM"/>
    <s v="N"/>
    <s v="N"/>
    <s v="N/A"/>
    <m/>
    <m/>
    <m/>
    <s v="B"/>
    <n v="30000"/>
    <n v="30000"/>
    <s v="2.0409"/>
    <s v="61227"/>
    <s v="61350.45"/>
    <s v="122.45"/>
    <s v="0"/>
    <s v="1"/>
    <s v="GBP"/>
    <s v="GBP"/>
    <n v="61350.45"/>
  </r>
  <r>
    <x v="0"/>
    <d v="2019-09-04T00:00:00.000"/>
    <s v="3000291"/>
    <s v="3771"/>
    <s v="Confirmed"/>
    <s v="N"/>
    <x v="3"/>
    <d v="2019-09-03T00:00:00.000"/>
    <d v="1899-12-30T15:21:28.000"/>
    <d v="2019-09-05T00:00:00.000"/>
    <s v="Equity"/>
    <m/>
    <s v="BMMV6B7"/>
    <s v="GB00BMMV6B79"/>
    <s v="CLG"/>
    <s v="N"/>
    <s v="N"/>
    <s v="N/A"/>
    <m/>
    <m/>
    <m/>
    <s v="B"/>
    <n v="69312"/>
    <n v="69312"/>
    <s v="2.165"/>
    <s v="150060.48"/>
    <s v="151113.4"/>
    <s v="300.12"/>
    <s v="0"/>
    <s v="752.8"/>
    <s v="GBP"/>
    <s v="GBP"/>
    <n v="151113.4"/>
  </r>
  <r>
    <x v="2"/>
    <d v="2019-09-04T00:00:00.000"/>
    <s v="3000292"/>
    <s v="3756"/>
    <s v="Confirmed"/>
    <s v="N"/>
    <x v="2"/>
    <d v="2019-09-03T00:00:00.000"/>
    <d v="1899-12-30T11:13:53.000"/>
    <d v="2019-09-05T00:00:00.000"/>
    <s v="Equity"/>
    <m/>
    <s v="B286382"/>
    <s v="GB00B2863827"/>
    <s v="CVSG"/>
    <s v="N"/>
    <s v="N"/>
    <s v="N/A"/>
    <m/>
    <m/>
    <m/>
    <s v="S"/>
    <n v="2000"/>
    <n v="2000"/>
    <s v="8.6723"/>
    <s v="17344.6"/>
    <s v="17308.91"/>
    <s v="34.69"/>
    <s v="0"/>
    <s v="1"/>
    <s v="GBP"/>
    <s v="GBP"/>
    <n v="17308.91"/>
  </r>
  <r>
    <x v="0"/>
    <d v="2019-09-05T00:00:00.000"/>
    <s v="3000291"/>
    <s v="3787"/>
    <s v="Confirmed"/>
    <s v="N"/>
    <x v="3"/>
    <d v="2019-09-04T00:00:00.000"/>
    <d v="1899-12-30T14:40:52.000"/>
    <d v="2019-09-06T00:00:00.000"/>
    <s v="Equity"/>
    <m/>
    <s v="BYN5913"/>
    <s v="GB00BYN59130"/>
    <s v="DOM"/>
    <s v="N"/>
    <s v="N"/>
    <s v="N/A"/>
    <m/>
    <m/>
    <m/>
    <s v="B"/>
    <n v="61478"/>
    <n v="61478"/>
    <s v="2.406"/>
    <s v="147916.07"/>
    <s v="148953.96"/>
    <s v="295.83"/>
    <s v="0"/>
    <s v="742.06"/>
    <s v="GBP"/>
    <s v="GBP"/>
    <n v="148953.96"/>
  </r>
  <r>
    <x v="2"/>
    <d v="2019-09-06T00:00:00.000"/>
    <s v="3000292"/>
    <s v="3797"/>
    <s v="Confirmed"/>
    <s v="N"/>
    <x v="9"/>
    <d v="2019-09-06T00:00:00.000"/>
    <d v="1899-12-30T09:18:10.000"/>
    <d v="2019-09-10T00:00:00.000"/>
    <s v="Equity"/>
    <m/>
    <s v="0687061"/>
    <s v="GB0006870611"/>
    <s v="GBG"/>
    <s v="N"/>
    <s v="N"/>
    <s v="N/A"/>
    <m/>
    <m/>
    <m/>
    <s v="S"/>
    <n v="3100"/>
    <n v="3100"/>
    <s v="5.84"/>
    <s v="18104"/>
    <s v="18066.79"/>
    <s v="36.21"/>
    <s v="0"/>
    <s v="1"/>
    <s v="GBP"/>
    <s v="GBP"/>
    <n v="18066.79"/>
  </r>
  <r>
    <x v="1"/>
    <d v="2019-09-09T00:00:00.000"/>
    <s v="3000290"/>
    <m/>
    <s v="Confirmed"/>
    <s v="N"/>
    <x v="3"/>
    <d v="2019-09-06T00:00:00.000"/>
    <d v="1899-12-30T12:46:31.000"/>
    <d v="2019-09-10T00:00:00.000"/>
    <s v="Equity"/>
    <m/>
    <s v="BN7ZCY6"/>
    <s v="GB00BN7ZCY67"/>
    <s v="ERGO"/>
    <s v="N"/>
    <s v="N"/>
    <s v="N/A"/>
    <m/>
    <m/>
    <m/>
    <s v="S"/>
    <n v="44230"/>
    <n v="44230"/>
    <s v="3.4"/>
    <s v="150382"/>
    <s v="150080.236"/>
    <s v="300.764"/>
    <s v="0"/>
    <s v="1"/>
    <s v="GBP"/>
    <s v="GBP"/>
    <n v="150080.236"/>
  </r>
  <r>
    <x v="1"/>
    <d v="2019-09-09T00:00:00.000"/>
    <s v="3000290"/>
    <m/>
    <s v="Confirmed"/>
    <s v="N"/>
    <x v="12"/>
    <d v="2019-09-06T00:00:00.000"/>
    <d v="1899-12-30T16:14:23.000"/>
    <d v="2019-09-10T00:00:00.000"/>
    <s v="Equity"/>
    <m/>
    <s v="BLBP4Y2"/>
    <s v="GB00BLBP4Y22"/>
    <s v="IMO"/>
    <s v="N"/>
    <s v="N"/>
    <s v="N/A"/>
    <m/>
    <m/>
    <m/>
    <s v="S"/>
    <n v="77333"/>
    <n v="77333"/>
    <s v="3.3265624"/>
    <s v="257253.0501"/>
    <s v="256737.544"/>
    <s v="514.5061002"/>
    <s v="0"/>
    <s v="1"/>
    <s v="GBP"/>
    <s v="GBP"/>
    <n v="256737.544"/>
  </r>
  <r>
    <x v="0"/>
    <d v="2019-09-09T00:00:00.000"/>
    <s v="3000291"/>
    <m/>
    <s v="Confirmed"/>
    <s v="N"/>
    <x v="3"/>
    <d v="2019-09-06T00:00:00.000"/>
    <d v="1899-12-30T13:40:59.000"/>
    <d v="2019-09-10T00:00:00.000"/>
    <s v="Equity"/>
    <m/>
    <s v="3002605"/>
    <s v="GB0030026057"/>
    <s v="NFC"/>
    <s v="N"/>
    <s v="N"/>
    <s v="N/A"/>
    <m/>
    <m/>
    <m/>
    <s v="S"/>
    <n v="10150"/>
    <n v="10150"/>
    <s v="5.83"/>
    <s v="59174.5"/>
    <s v="59055.151"/>
    <s v="118.349"/>
    <s v="0"/>
    <s v="1"/>
    <s v="GBP"/>
    <s v="GBP"/>
    <n v="59055.151"/>
  </r>
  <r>
    <x v="1"/>
    <d v="2019-09-10T00:00:00.000"/>
    <s v="3000290"/>
    <s v="3832"/>
    <s v="Confirmed"/>
    <s v="N"/>
    <x v="1"/>
    <d v="2019-09-10T00:00:00.000"/>
    <d v="1899-12-30T09:35:08.000"/>
    <d v="2019-09-12T00:00:00.000"/>
    <s v="Equity"/>
    <m/>
    <s v="BK63S75"/>
    <s v="GB00BK63S759"/>
    <s v="BRCK"/>
    <s v="N"/>
    <s v="N"/>
    <s v="N/A"/>
    <m/>
    <m/>
    <m/>
    <s v="S"/>
    <n v="97945"/>
    <n v="97945"/>
    <s v="0.67"/>
    <s v="65623.15"/>
    <s v="65490.9"/>
    <s v="131.25"/>
    <s v="0"/>
    <s v="1"/>
    <s v="GBP"/>
    <s v="GBP"/>
    <n v="65490.9"/>
  </r>
  <r>
    <x v="2"/>
    <d v="2019-09-10T00:00:00.000"/>
    <s v="3000292"/>
    <s v="3817"/>
    <s v="Confirmed"/>
    <s v="N"/>
    <x v="3"/>
    <d v="2019-09-09T00:00:00.000"/>
    <d v="1899-12-30T16:09:14.000"/>
    <d v="2019-09-11T00:00:00.000"/>
    <s v="Equity"/>
    <m/>
    <s v="BMMV6B7"/>
    <s v="GB00BMMV6B79"/>
    <s v="CLG"/>
    <s v="N"/>
    <s v="N"/>
    <s v="N/A"/>
    <m/>
    <m/>
    <m/>
    <s v="B"/>
    <n v="7700"/>
    <n v="7700"/>
    <s v="2.2"/>
    <s v="16940"/>
    <s v="17059.75"/>
    <s v="33.88"/>
    <s v="0"/>
    <s v="85.87"/>
    <s v="GBP"/>
    <s v="GBP"/>
    <n v="17059.75"/>
  </r>
  <r>
    <x v="2"/>
    <d v="2019-09-10T00:00:00.000"/>
    <s v="3000292"/>
    <s v="3833"/>
    <s v="Confirmed"/>
    <s v="N"/>
    <x v="1"/>
    <d v="2019-09-10T00:00:00.000"/>
    <d v="1899-12-30T09:35:09.000"/>
    <d v="2019-09-12T00:00:00.000"/>
    <s v="Equity"/>
    <m/>
    <s v="BK63S75"/>
    <s v="GB00BK63S759"/>
    <s v="BRCK"/>
    <s v="N"/>
    <s v="N"/>
    <s v="N/A"/>
    <m/>
    <m/>
    <m/>
    <s v="S"/>
    <n v="2055"/>
    <n v="2055"/>
    <s v="0.67"/>
    <s v="1376.85"/>
    <s v="1374.1"/>
    <s v="2.75"/>
    <s v="0"/>
    <s v="0"/>
    <s v="GBP"/>
    <s v="GBP"/>
    <n v="1374.1"/>
  </r>
  <r>
    <x v="1"/>
    <d v="2019-09-12T00:00:00.000"/>
    <s v="3000290"/>
    <s v="3856"/>
    <s v="Confirmed"/>
    <s v="N"/>
    <x v="12"/>
    <d v="2019-09-11T00:00:00.000"/>
    <d v="1899-12-30T16:14:39.000"/>
    <d v="2019-09-13T00:00:00.000"/>
    <s v="Equity"/>
    <m/>
    <s v="BK63S75"/>
    <s v="GB00BK63S759"/>
    <s v="BRCK"/>
    <s v="N"/>
    <s v="N"/>
    <s v="N/A"/>
    <m/>
    <m/>
    <m/>
    <s v="S"/>
    <n v="97945"/>
    <n v="97945"/>
    <s v="0.66675"/>
    <s v="65304.82875"/>
    <s v="65174.21909"/>
    <s v="130.6096575"/>
    <s v="0"/>
    <s v="0"/>
    <s v="GBP"/>
    <s v="GBP"/>
    <n v="65174.21909"/>
  </r>
  <r>
    <x v="2"/>
    <d v="2019-09-12T00:00:00.000"/>
    <s v="3000292"/>
    <s v="3857"/>
    <s v="Confirmed"/>
    <s v="N"/>
    <x v="12"/>
    <d v="2019-09-11T00:00:00.000"/>
    <d v="1899-12-30T16:14:39.000"/>
    <d v="2019-09-13T00:00:00.000"/>
    <s v="Equity"/>
    <m/>
    <s v="BK63S75"/>
    <s v="GB00BK63S759"/>
    <s v="BRCK"/>
    <s v="N"/>
    <s v="N"/>
    <s v="N/A"/>
    <m/>
    <m/>
    <m/>
    <s v="S"/>
    <n v="2055"/>
    <n v="2055"/>
    <s v="0.66675"/>
    <s v="1370.17125"/>
    <s v="1367.430907"/>
    <s v="2.7403425"/>
    <s v="0"/>
    <s v="0"/>
    <s v="GBP"/>
    <s v="GBP"/>
    <n v="1367.430907"/>
  </r>
  <r>
    <x v="1"/>
    <d v="2019-09-13T00:00:00.000"/>
    <s v="3000290"/>
    <s v="3856.1"/>
    <s v="Confirmed"/>
    <s v="N"/>
    <x v="12"/>
    <d v="2019-09-11T00:00:00.000"/>
    <d v="1899-12-30T16:14:39.000"/>
    <d v="2019-09-13T00:00:00.000"/>
    <s v="Equity"/>
    <m/>
    <s v="BK63S75"/>
    <s v="GB00BK63S759"/>
    <s v="BRCK"/>
    <s v="N"/>
    <s v="N"/>
    <s v="N/A"/>
    <m/>
    <m/>
    <m/>
    <s v="S"/>
    <n v="97945"/>
    <n v="97945"/>
    <s v="0.66675"/>
    <s v="65304.82875"/>
    <s v="65173.21909"/>
    <s v="130.6096575"/>
    <s v="0"/>
    <s v="1"/>
    <s v="GBP"/>
    <s v="GBP"/>
    <n v="65173.21909"/>
  </r>
  <r>
    <x v="1"/>
    <d v="2019-09-16T00:00:00.000"/>
    <s v="3000290"/>
    <s v="0009"/>
    <s v="Confirmed"/>
    <s v="N"/>
    <x v="3"/>
    <d v="2019-09-13T00:00:00.000"/>
    <d v="1899-12-30T16:35:06.000"/>
    <d v="2019-09-17T00:00:00.000"/>
    <s v="Equity"/>
    <m/>
    <s v="BZBX0P7"/>
    <s v="GB00BZBX0P70"/>
    <s v="GYM"/>
    <s v="N"/>
    <s v="N"/>
    <s v="N/A"/>
    <m/>
    <m/>
    <m/>
    <s v="B"/>
    <n v="142288"/>
    <n v="142288"/>
    <s v="2.521111"/>
    <s v="358723.842"/>
    <s v="361239.4997"/>
    <s v="717.4476839"/>
    <s v="0"/>
    <s v="1798.21"/>
    <s v="GBP"/>
    <s v="GBP"/>
    <n v="361239.4997"/>
  </r>
  <r>
    <x v="0"/>
    <d v="2019-09-16T00:00:00.000"/>
    <s v="3000291"/>
    <s v="0010"/>
    <s v="Confirmed"/>
    <s v="N"/>
    <x v="15"/>
    <d v="2019-09-13T00:00:00.000"/>
    <d v="1899-12-30T17:37:27.000"/>
    <d v="2019-09-17T00:00:00.000"/>
    <s v="Equity"/>
    <m/>
    <s v="BF16C05"/>
    <s v="GB00BF16C058"/>
    <s v="AFM"/>
    <s v="N"/>
    <s v="N"/>
    <s v="N/A"/>
    <m/>
    <m/>
    <m/>
    <s v="B"/>
    <n v="200638"/>
    <n v="200638"/>
    <s v="2.10778"/>
    <s v="422900.7636"/>
    <s v="423747.5552"/>
    <s v="845.8015273"/>
    <s v="0"/>
    <s v="1"/>
    <s v="GBP"/>
    <s v="GBP"/>
    <n v="423747.5552"/>
  </r>
  <r>
    <x v="0"/>
    <d v="2019-09-16T00:00:00.000"/>
    <s v="3000291"/>
    <s v="0011"/>
    <s v="Confirmed"/>
    <s v="N"/>
    <x v="15"/>
    <d v="2019-09-16T00:00:00.000"/>
    <d v="1899-12-30T09:47:53.000"/>
    <d v="2019-09-18T00:00:00.000"/>
    <s v="Equity"/>
    <m/>
    <s v="BF16C05"/>
    <s v="GB00BF16C058"/>
    <s v="AFM"/>
    <s v="N"/>
    <s v="N"/>
    <s v="N/A"/>
    <m/>
    <m/>
    <m/>
    <s v="B"/>
    <n v="111639"/>
    <n v="111639"/>
    <s v="2.08"/>
    <s v="232209.12"/>
    <s v="232674.5382"/>
    <s v="464.41824"/>
    <s v="0"/>
    <s v="1"/>
    <s v="GBP"/>
    <s v="GBP"/>
    <n v="232674.5382"/>
  </r>
  <r>
    <x v="1"/>
    <d v="2019-09-18T00:00:00.000"/>
    <s v="3000290"/>
    <s v="3972"/>
    <s v="Confirmed"/>
    <s v="N"/>
    <x v="4"/>
    <d v="2019-09-17T00:00:00.000"/>
    <d v="1899-12-30T16:39:21.000"/>
    <d v="2019-09-19T00:00:00.000"/>
    <s v="Equity"/>
    <m/>
    <s v="0452690"/>
    <s v="GB0004526900"/>
    <s v="IGR"/>
    <s v="N"/>
    <s v="N"/>
    <s v="N/A"/>
    <m/>
    <m/>
    <m/>
    <s v="S"/>
    <n v="76000"/>
    <n v="76000"/>
    <s v="5.96"/>
    <s v="452960"/>
    <s v="452053.08"/>
    <s v="905.92"/>
    <s v="0"/>
    <s v="1"/>
    <s v="GBP"/>
    <s v="GBP"/>
    <n v="452053.08"/>
  </r>
  <r>
    <x v="0"/>
    <d v="2019-09-18T00:00:00.000"/>
    <s v="3000291"/>
    <s v="3977"/>
    <s v="Confirmed"/>
    <s v="N"/>
    <x v="4"/>
    <d v="2019-09-18T00:00:00.000"/>
    <d v="1899-12-30T09:55:10.000"/>
    <d v="2019-09-20T00:00:00.000"/>
    <s v="Equity"/>
    <m/>
    <s v="BF0FMG9"/>
    <s v="IM00BF0FMG91"/>
    <s v="KETL"/>
    <s v="N"/>
    <s v="N"/>
    <s v="N/A"/>
    <m/>
    <m/>
    <m/>
    <s v="B"/>
    <n v="65000"/>
    <n v="65000"/>
    <s v="1.65"/>
    <s v="107250"/>
    <s v="107465.5"/>
    <s v="214.5"/>
    <s v="0"/>
    <s v="1"/>
    <s v="GBP"/>
    <s v="GBP"/>
    <n v="107465.5"/>
  </r>
  <r>
    <x v="1"/>
    <d v="2019-09-19T00:00:00.000"/>
    <s v="3000290"/>
    <s v="4009"/>
    <s v="Confirmed"/>
    <s v="N"/>
    <x v="4"/>
    <d v="2019-09-18T00:00:00.000"/>
    <d v="1899-12-30T14:50:18.000"/>
    <d v="2019-09-20T00:00:00.000"/>
    <s v="Equity"/>
    <m/>
    <s v="0452690"/>
    <s v="GB0004526900"/>
    <s v="IGR"/>
    <s v="N"/>
    <s v="N"/>
    <s v="N/A"/>
    <m/>
    <m/>
    <m/>
    <s v="S"/>
    <n v="50000"/>
    <n v="50000"/>
    <s v="5.97"/>
    <s v="298500"/>
    <s v="297902"/>
    <s v="597"/>
    <s v="0"/>
    <s v="1"/>
    <s v="GBP"/>
    <s v="GBP"/>
    <n v="297902"/>
  </r>
  <r>
    <x v="1"/>
    <d v="2019-09-19T00:00:00.000"/>
    <s v="3000290"/>
    <s v="4014"/>
    <s v="Confirmed"/>
    <s v="N"/>
    <x v="4"/>
    <d v="2019-09-18T00:00:00.000"/>
    <d v="1899-12-30T16:45:01.000"/>
    <d v="2019-09-20T00:00:00.000"/>
    <s v="Equity"/>
    <m/>
    <s v="0452690"/>
    <s v="GB0004526900"/>
    <s v="IGR"/>
    <s v="N"/>
    <s v="N"/>
    <s v="N/A"/>
    <m/>
    <m/>
    <m/>
    <s v="S"/>
    <n v="100000"/>
    <n v="100000"/>
    <s v="5.99"/>
    <s v="599000"/>
    <s v="597801"/>
    <s v="1198"/>
    <s v="0"/>
    <s v="1"/>
    <s v="GBP"/>
    <s v="GBP"/>
    <n v="597801"/>
  </r>
  <r>
    <x v="1"/>
    <d v="2019-09-19T00:00:00.000"/>
    <s v="3000290"/>
    <s v="0012"/>
    <s v="Confirmed"/>
    <s v="N"/>
    <x v="3"/>
    <d v="2019-09-18T00:00:00.000"/>
    <d v="1899-12-30T16:37:29.000"/>
    <d v="2019-09-20T00:00:00.000"/>
    <s v="Equity"/>
    <m/>
    <s v="BZBX0P7"/>
    <s v="GB00BZBX0P70"/>
    <s v="GYM"/>
    <s v="N"/>
    <s v="N"/>
    <s v="N/A"/>
    <m/>
    <m/>
    <m/>
    <s v="B"/>
    <n v="107712"/>
    <n v="107712"/>
    <s v="2.52"/>
    <s v="271434.24"/>
    <s v="273337.9985"/>
    <s v="542.86848"/>
    <s v="0"/>
    <s v="1360.89"/>
    <s v="GBP"/>
    <s v="GBP"/>
    <n v="273337.9985"/>
  </r>
  <r>
    <x v="1"/>
    <d v="2019-09-20T00:00:00.000"/>
    <s v="3000290"/>
    <s v="4036"/>
    <s v="Confirmed"/>
    <s v="N"/>
    <x v="4"/>
    <d v="2019-09-19T00:00:00.000"/>
    <d v="1899-12-30T16:31:09.000"/>
    <d v="2019-09-23T00:00:00.000"/>
    <s v="Equity"/>
    <m/>
    <s v="0452690"/>
    <s v="GB0004526900"/>
    <s v="IGR"/>
    <s v="N"/>
    <s v="N"/>
    <s v="N/A"/>
    <m/>
    <m/>
    <m/>
    <s v="S"/>
    <n v="31000"/>
    <n v="31000"/>
    <s v="5.98"/>
    <s v="185380"/>
    <s v="185008.24"/>
    <s v="370.76"/>
    <s v="0"/>
    <s v="1"/>
    <s v="GBP"/>
    <s v="GBP"/>
    <n v="185008.24"/>
  </r>
  <r>
    <x v="1"/>
    <d v="2019-09-23T00:00:00.000"/>
    <s v="3000290"/>
    <s v="4078"/>
    <s v="Confirmed"/>
    <s v="N"/>
    <x v="4"/>
    <d v="2019-09-20T00:00:00.000"/>
    <d v="1899-12-30T16:28:40.000"/>
    <d v="2019-09-24T00:00:00.000"/>
    <s v="Equity"/>
    <m/>
    <s v="0452690"/>
    <s v="GB0004526900"/>
    <s v="IGR"/>
    <s v="N"/>
    <s v="N"/>
    <s v="N/A"/>
    <m/>
    <m/>
    <m/>
    <s v="S"/>
    <n v="82000"/>
    <n v="82000"/>
    <s v="5.98"/>
    <s v="490360"/>
    <s v="489378.28"/>
    <s v="980.72"/>
    <s v="0"/>
    <s v="1"/>
    <s v="GBP"/>
    <s v="GBP"/>
    <n v="489378.28"/>
  </r>
  <r>
    <x v="1"/>
    <d v="2019-09-23T00:00:00.000"/>
    <s v="3000290"/>
    <s v="0013"/>
    <s v="Confirmed"/>
    <s v="N"/>
    <x v="3"/>
    <d v="2019-09-20T00:00:00.000"/>
    <d v="1899-12-30T16:08:29.000"/>
    <d v="2019-09-24T00:00:00.000"/>
    <s v="Equity"/>
    <m/>
    <s v="BZBX0P7"/>
    <s v="GB00BZBX0P70"/>
    <s v="GYM"/>
    <s v="N"/>
    <s v="N"/>
    <s v="N/A"/>
    <m/>
    <m/>
    <m/>
    <s v="B"/>
    <n v="100000"/>
    <n v="100000"/>
    <s v="2.52"/>
    <s v="252000"/>
    <s v="253767.52"/>
    <s v="504"/>
    <s v="0"/>
    <s v="1263.52"/>
    <s v="GBP"/>
    <s v="GBP"/>
    <n v="253767.52"/>
  </r>
  <r>
    <x v="1"/>
    <d v="2019-09-25T00:00:00.000"/>
    <s v="3000290"/>
    <s v="4107"/>
    <s v="Confirmed"/>
    <s v="N"/>
    <x v="1"/>
    <d v="2019-09-24T00:00:00.000"/>
    <d v="1899-12-30T14:19:20.000"/>
    <d v="2019-09-26T00:00:00.000"/>
    <s v="Equity"/>
    <m/>
    <s v="0452690"/>
    <s v="GB0004526900"/>
    <s v="IGR"/>
    <s v="N"/>
    <s v="N"/>
    <s v="N/A"/>
    <m/>
    <m/>
    <m/>
    <s v="S"/>
    <n v="358500"/>
    <n v="358500"/>
    <s v="5.98"/>
    <s v="2143830"/>
    <s v="2139541.34"/>
    <s v="4287.66"/>
    <s v="0"/>
    <s v="1"/>
    <s v="GBP"/>
    <s v="GBP"/>
    <n v="2139541.34"/>
  </r>
  <r>
    <x v="0"/>
    <d v="2019-09-25T00:00:00.000"/>
    <s v="3000291"/>
    <s v="4110"/>
    <s v="Confirmed"/>
    <s v="N"/>
    <x v="3"/>
    <d v="2019-09-24T00:00:00.000"/>
    <d v="1899-12-30T14:26:42.000"/>
    <d v="2019-09-26T00:00:00.000"/>
    <s v="Equity"/>
    <m/>
    <s v="B61D1Y0"/>
    <s v="GB00B61D1Y04"/>
    <s v="EMIS"/>
    <s v="N"/>
    <s v="N"/>
    <s v="N/A"/>
    <m/>
    <m/>
    <m/>
    <s v="B"/>
    <n v="55000"/>
    <n v="55000"/>
    <s v="10.722128"/>
    <s v="589717.04"/>
    <s v="590897.47"/>
    <s v="1179.43"/>
    <s v="0"/>
    <s v="1"/>
    <s v="GBP"/>
    <s v="GBP"/>
    <n v="590897.47"/>
  </r>
  <r>
    <x v="1"/>
    <d v="2019-09-26T00:00:00.000"/>
    <s v="3000290"/>
    <s v="0014"/>
    <s v="Confirmed"/>
    <s v="N"/>
    <x v="12"/>
    <d v="2019-09-24T00:00:00.000"/>
    <d v="1899-12-30T10:27:34.000"/>
    <d v="2019-09-26T00:00:00.000"/>
    <s v="Equity"/>
    <m/>
    <s v="BFYF629"/>
    <s v="GB00BFYF6298"/>
    <s v="KGH"/>
    <s v="N"/>
    <s v="N"/>
    <s v="N/A"/>
    <m/>
    <m/>
    <m/>
    <s v="S"/>
    <n v="45000"/>
    <n v="45000"/>
    <s v="3.1217778"/>
    <s v="140480.001"/>
    <s v="140198.041"/>
    <s v="280.960002"/>
    <s v="0"/>
    <s v="1"/>
    <s v="GBP"/>
    <s v="GBP"/>
    <n v="140198.041"/>
  </r>
  <r>
    <x v="1"/>
    <d v="2019-09-27T00:00:00.000"/>
    <s v="3000290"/>
    <s v="0015"/>
    <s v="Confirmed"/>
    <s v="N"/>
    <x v="3"/>
    <d v="2019-09-26T00:00:00.000"/>
    <d v="1899-12-30T16:38:04.000"/>
    <d v="2019-09-30T00:00:00.000"/>
    <s v="Equity"/>
    <m/>
    <s v="BZBX0P7"/>
    <s v="GB00BZBX0P70"/>
    <s v="GYM"/>
    <s v="N"/>
    <s v="N"/>
    <s v="N/A"/>
    <m/>
    <m/>
    <m/>
    <s v="B"/>
    <n v="81549"/>
    <n v="81549"/>
    <s v="2.520536"/>
    <s v="205547.1903"/>
    <s v="206989.0746"/>
    <s v="411.0943805"/>
    <s v="0"/>
    <s v="1030.79"/>
    <s v="GBP"/>
    <s v="GBP"/>
    <n v="206989.0746"/>
  </r>
  <r>
    <x v="1"/>
    <d v="2019-09-30T00:00:00.000"/>
    <s v="3000290"/>
    <s v="4171"/>
    <s v="Confirmed"/>
    <s v="N"/>
    <x v="3"/>
    <d v="2019-09-27T00:00:00.000"/>
    <d v="1899-12-30T16:35:58.000"/>
    <d v="2019-10-01T00:00:00.000"/>
    <s v="Equity"/>
    <m/>
    <s v="BZBX0P7"/>
    <s v="GB00BZBX0P70"/>
    <s v="GYM"/>
    <s v="N"/>
    <s v="N"/>
    <s v="N/A"/>
    <m/>
    <m/>
    <m/>
    <s v="B"/>
    <n v="14819"/>
    <n v="14819"/>
    <s v="2.52"/>
    <s v="37343.88"/>
    <s v="37606.66"/>
    <s v="74.69"/>
    <s v="0"/>
    <s v="188.09"/>
    <s v="GBP"/>
    <s v="GBP"/>
    <n v="37606.66"/>
  </r>
  <r>
    <x v="1"/>
    <d v="2019-10-01T00:00:00.000"/>
    <s v="3000290"/>
    <s v="0016"/>
    <s v="Confirmed"/>
    <s v="N"/>
    <x v="12"/>
    <d v="2019-09-30T00:00:00.000"/>
    <d v="1899-12-30T11:44:40.000"/>
    <d v="2019-10-02T00:00:00.000"/>
    <s v="Equity"/>
    <m/>
    <s v="BF0HYJ2"/>
    <s v="GB00BF0HYJ24"/>
    <s v="ARE"/>
    <s v="N"/>
    <s v="N"/>
    <s v="N/A"/>
    <m/>
    <m/>
    <m/>
    <s v="S"/>
    <n v="2396517"/>
    <n v="2396517"/>
    <s v="0.1823333"/>
    <s v="436964.93"/>
    <s v="436090.0001"/>
    <s v="873.92986"/>
    <s v="0"/>
    <s v="1"/>
    <s v="GBP"/>
    <s v="GBP"/>
    <n v="436090.0001"/>
  </r>
  <r>
    <x v="1"/>
    <d v="2019-10-01T00:00:00.000"/>
    <s v="3000290"/>
    <s v="4198"/>
    <s v="Confirmed"/>
    <s v="N"/>
    <x v="12"/>
    <d v="2019-09-30T00:00:00.000"/>
    <d v="1899-12-30T11:44:54.000"/>
    <d v="2019-10-02T00:00:00.000"/>
    <s v="Equity"/>
    <m/>
    <s v="BF0HYJ2"/>
    <s v="GB00BF0HYJ24"/>
    <s v="ARE"/>
    <s v="N"/>
    <s v="N"/>
    <s v="N/A"/>
    <m/>
    <m/>
    <m/>
    <s v="S"/>
    <n v="1677562"/>
    <n v="1677562"/>
    <s v="0.175"/>
    <s v="293573.35"/>
    <s v="292985.2"/>
    <s v="587.15"/>
    <s v="0"/>
    <s v="1"/>
    <s v="GBP"/>
    <s v="GBP"/>
    <n v="292985.2"/>
  </r>
  <r>
    <x v="1"/>
    <d v="2019-10-01T00:00:00.000"/>
    <s v="3000290"/>
    <s v="4219"/>
    <s v="Confirmed"/>
    <s v="N"/>
    <x v="12"/>
    <d v="2019-09-30T00:00:00.000"/>
    <d v="1899-12-30T16:44:56.000"/>
    <d v="2019-10-02T00:00:00.000"/>
    <s v="Equity"/>
    <m/>
    <s v="BF0HYJ2"/>
    <s v="GB00BF0HYJ24"/>
    <s v="ARE"/>
    <s v="N"/>
    <s v="N"/>
    <s v="N/A"/>
    <m/>
    <m/>
    <m/>
    <s v="S"/>
    <n v="8415773"/>
    <n v="8415773"/>
    <s v="0.175"/>
    <s v="1472760.28"/>
    <s v="1469813.76"/>
    <s v="2945.52"/>
    <s v="0"/>
    <s v="1"/>
    <s v="GBP"/>
    <s v="GBP"/>
    <n v="1469813.76"/>
  </r>
  <r>
    <x v="0"/>
    <d v="2019-10-01T00:00:00.000"/>
    <s v="3000291"/>
    <s v="0017"/>
    <s v="Confirmed"/>
    <s v="N"/>
    <x v="12"/>
    <d v="2019-09-30T00:00:00.000"/>
    <d v="1899-12-30T11:44:40.000"/>
    <d v="2019-10-02T00:00:00.000"/>
    <s v="Equity"/>
    <m/>
    <s v="BF0HYJ2"/>
    <s v="GB00BF0HYJ24"/>
    <s v="ARE"/>
    <s v="N"/>
    <s v="N"/>
    <s v="N/A"/>
    <m/>
    <m/>
    <m/>
    <s v="S"/>
    <n v="603483"/>
    <n v="603483"/>
    <s v="0.1823333"/>
    <s v="110035.07"/>
    <s v="109813.9999"/>
    <s v="220.07014"/>
    <s v="0"/>
    <s v="1"/>
    <s v="GBP"/>
    <s v="GBP"/>
    <n v="109813.9999"/>
  </r>
  <r>
    <x v="0"/>
    <d v="2019-10-01T00:00:00.000"/>
    <s v="3000291"/>
    <s v="4199"/>
    <s v="Confirmed"/>
    <s v="N"/>
    <x v="12"/>
    <d v="2019-09-30T00:00:00.000"/>
    <d v="1899-12-30T11:44:54.000"/>
    <d v="2019-10-02T00:00:00.000"/>
    <s v="Equity"/>
    <m/>
    <s v="BF0HYJ2"/>
    <s v="GB00BF0HYJ24"/>
    <s v="ARE"/>
    <s v="N"/>
    <s v="N"/>
    <s v="N/A"/>
    <m/>
    <m/>
    <m/>
    <s v="S"/>
    <n v="422438"/>
    <n v="422438"/>
    <s v="0.175"/>
    <s v="73926.65"/>
    <s v="73777.8"/>
    <s v="147.85"/>
    <s v="0"/>
    <s v="1"/>
    <s v="GBP"/>
    <s v="GBP"/>
    <n v="73777.8"/>
  </r>
  <r>
    <x v="0"/>
    <d v="2019-10-01T00:00:00.000"/>
    <s v="3000291"/>
    <s v="4220"/>
    <s v="Confirmed"/>
    <s v="N"/>
    <x v="12"/>
    <d v="2019-09-30T00:00:00.000"/>
    <d v="1899-12-30T16:44:56.000"/>
    <d v="2019-10-02T00:00:00.000"/>
    <s v="Equity"/>
    <m/>
    <s v="BF0HYJ2"/>
    <s v="GB00BF0HYJ24"/>
    <s v="ARE"/>
    <s v="N"/>
    <s v="N"/>
    <s v="N/A"/>
    <m/>
    <m/>
    <m/>
    <s v="S"/>
    <n v="2119227"/>
    <n v="2119227"/>
    <s v="0.175"/>
    <s v="370864.73"/>
    <s v="370122"/>
    <s v="741.73"/>
    <s v="0"/>
    <s v="1"/>
    <s v="GBP"/>
    <s v="GBP"/>
    <n v="370122"/>
  </r>
  <r>
    <x v="1"/>
    <d v="2019-10-01T00:00:00.000"/>
    <s v="3000290"/>
    <s v="0016"/>
    <s v="Confirmed"/>
    <s v="N"/>
    <x v="12"/>
    <d v="2019-09-30T00:00:00.000"/>
    <d v="1899-12-30T11:44:40.000"/>
    <d v="2019-10-02T00:00:00.000"/>
    <s v="Equity"/>
    <m/>
    <s v="BF0HYJ2"/>
    <s v="GB00BF0HYJ24"/>
    <s v="ARE"/>
    <s v="N"/>
    <s v="N"/>
    <s v="N/A"/>
    <m/>
    <m/>
    <m/>
    <s v="S"/>
    <n v="2396517"/>
    <n v="2396517"/>
    <s v="0.1823333"/>
    <s v="436964.93"/>
    <s v="436090.0001"/>
    <s v="873.92986"/>
    <s v="0"/>
    <s v="1"/>
    <s v="GBP"/>
    <s v="GBP"/>
    <n v="436090.0001"/>
  </r>
  <r>
    <x v="1"/>
    <d v="2019-10-01T00:00:00.000"/>
    <s v="3000290"/>
    <s v="4198"/>
    <s v="Confirmed"/>
    <s v="N"/>
    <x v="12"/>
    <d v="2019-09-30T00:00:00.000"/>
    <d v="1899-12-30T11:44:54.000"/>
    <d v="2019-10-02T00:00:00.000"/>
    <s v="Equity"/>
    <m/>
    <s v="BF0HYJ2"/>
    <s v="GB00BF0HYJ24"/>
    <s v="ARE"/>
    <s v="N"/>
    <s v="N"/>
    <s v="N/A"/>
    <m/>
    <m/>
    <m/>
    <s v="S"/>
    <n v="1677562"/>
    <n v="1677562"/>
    <s v="0.175"/>
    <s v="293573.35"/>
    <s v="292985.2"/>
    <s v="587.15"/>
    <s v="0"/>
    <s v="1"/>
    <s v="GBP"/>
    <s v="GBP"/>
    <n v="292985.2"/>
  </r>
  <r>
    <x v="1"/>
    <d v="2019-10-01T00:00:00.000"/>
    <s v="3000290"/>
    <s v="4219"/>
    <s v="Confirmed"/>
    <s v="N"/>
    <x v="12"/>
    <d v="2019-09-30T00:00:00.000"/>
    <d v="1899-12-30T16:44:56.000"/>
    <d v="2019-10-02T00:00:00.000"/>
    <s v="Equity"/>
    <m/>
    <s v="BF0HYJ2"/>
    <s v="GB00BF0HYJ24"/>
    <s v="ARE"/>
    <s v="N"/>
    <s v="N"/>
    <s v="N/A"/>
    <m/>
    <m/>
    <m/>
    <s v="S"/>
    <n v="8415773"/>
    <n v="8415773"/>
    <s v="0.175"/>
    <s v="1472760.28"/>
    <s v="1469813.76"/>
    <s v="2945.52"/>
    <s v="0"/>
    <s v="1"/>
    <s v="GBP"/>
    <s v="GBP"/>
    <n v="1469813.76"/>
  </r>
  <r>
    <x v="0"/>
    <d v="2019-10-01T00:00:00.000"/>
    <s v="3000291"/>
    <s v="0017"/>
    <s v="Confirmed"/>
    <s v="N"/>
    <x v="12"/>
    <d v="2019-09-30T00:00:00.000"/>
    <d v="1899-12-30T11:44:40.000"/>
    <d v="2019-10-02T00:00:00.000"/>
    <s v="Equity"/>
    <m/>
    <s v="BF0HYJ2"/>
    <s v="GB00BF0HYJ24"/>
    <s v="ARE"/>
    <s v="N"/>
    <s v="N"/>
    <s v="N/A"/>
    <m/>
    <m/>
    <m/>
    <s v="S"/>
    <n v="603483"/>
    <n v="603483"/>
    <s v="0.1823333"/>
    <s v="110035.07"/>
    <s v="109813.9999"/>
    <s v="220.07014"/>
    <s v="0"/>
    <s v="1"/>
    <s v="GBP"/>
    <s v="GBP"/>
    <n v="109813.9999"/>
  </r>
  <r>
    <x v="0"/>
    <d v="2019-10-01T00:00:00.000"/>
    <s v="3000291"/>
    <s v="4199"/>
    <s v="Confirmed"/>
    <s v="N"/>
    <x v="12"/>
    <d v="2019-09-30T00:00:00.000"/>
    <d v="1899-12-30T11:44:54.000"/>
    <d v="2019-10-02T00:00:00.000"/>
    <s v="Equity"/>
    <m/>
    <s v="BF0HYJ2"/>
    <s v="GB00BF0HYJ24"/>
    <s v="ARE"/>
    <s v="N"/>
    <s v="N"/>
    <s v="N/A"/>
    <m/>
    <m/>
    <m/>
    <s v="S"/>
    <n v="422438"/>
    <n v="422438"/>
    <s v="0.175"/>
    <s v="73926.65"/>
    <s v="73777.8"/>
    <s v="147.85"/>
    <s v="0"/>
    <s v="1"/>
    <s v="GBP"/>
    <s v="GBP"/>
    <n v="73777.8"/>
  </r>
  <r>
    <x v="0"/>
    <d v="2019-10-01T00:00:00.000"/>
    <s v="3000291"/>
    <s v="4220"/>
    <s v="Confirmed"/>
    <s v="N"/>
    <x v="12"/>
    <d v="2019-09-30T00:00:00.000"/>
    <d v="1899-12-30T16:44:56.000"/>
    <d v="2019-10-02T00:00:00.000"/>
    <s v="Equity"/>
    <m/>
    <s v="BF0HYJ2"/>
    <s v="GB00BF0HYJ24"/>
    <s v="ARE"/>
    <s v="N"/>
    <s v="N"/>
    <s v="N/A"/>
    <m/>
    <m/>
    <m/>
    <s v="S"/>
    <n v="2119227"/>
    <n v="2119227"/>
    <s v="0.175"/>
    <s v="370864.73"/>
    <s v="370122"/>
    <s v="741.73"/>
    <s v="0"/>
    <s v="1"/>
    <s v="GBP"/>
    <s v="GBP"/>
    <n v="370122"/>
  </r>
  <r>
    <x v="1"/>
    <d v="2019-10-03T00:00:00.000"/>
    <s v="3000290"/>
    <s v="4247"/>
    <s v="Confirmed"/>
    <s v="N"/>
    <x v="3"/>
    <d v="2019-10-02T00:00:00.000"/>
    <d v="1899-12-30T12:40:07.000"/>
    <d v="2019-10-04T00:00:00.000"/>
    <s v="Equity"/>
    <m/>
    <s v="BN7ZCY6"/>
    <s v="GB00BN7ZCY67"/>
    <s v="ERGO"/>
    <s v="N"/>
    <s v="N"/>
    <s v="N/A"/>
    <m/>
    <m/>
    <m/>
    <s v="B"/>
    <n v="352056"/>
    <n v="352056"/>
    <s v="2.99"/>
    <s v="1052647.44"/>
    <s v="1054753.73"/>
    <s v="2105.29"/>
    <s v="0"/>
    <s v="1"/>
    <s v="GBP"/>
    <s v="GBP"/>
    <n v="1054753.73"/>
  </r>
  <r>
    <x v="1"/>
    <d v="2019-10-03T00:00:00.000"/>
    <s v="3000290"/>
    <s v="0018"/>
    <s v="Confirmed"/>
    <s v="N"/>
    <x v="3"/>
    <d v="2019-10-02T00:00:00.000"/>
    <d v="1899-12-30T12:08:35.000"/>
    <d v="2019-10-04T00:00:00.000"/>
    <s v="Equity"/>
    <m/>
    <s v="BZBX0P7"/>
    <s v="GB00BZBX0P70"/>
    <s v="GYM"/>
    <s v="N"/>
    <s v="N"/>
    <s v="N/A"/>
    <m/>
    <m/>
    <m/>
    <s v="B"/>
    <n v="553632"/>
    <n v="553632"/>
    <s v="2.539538"/>
    <s v="1405969.502"/>
    <s v="1415826.351"/>
    <s v="2811.939004"/>
    <s v="0"/>
    <s v="7044.91"/>
    <s v="GBP"/>
    <s v="GBP"/>
    <n v="1415826.351"/>
  </r>
  <r>
    <x v="2"/>
    <d v="2019-10-03T00:00:00.000"/>
    <s v="3000292"/>
    <s v="4248"/>
    <s v="Confirmed"/>
    <s v="N"/>
    <x v="3"/>
    <d v="2019-10-02T00:00:00.000"/>
    <d v="1899-12-30T12:40:07.000"/>
    <d v="2019-10-04T00:00:00.000"/>
    <s v="Equity"/>
    <m/>
    <s v="BN7ZCY6"/>
    <s v="GB00BN7ZCY67"/>
    <s v="ERGO"/>
    <s v="N"/>
    <s v="N"/>
    <s v="N/A"/>
    <m/>
    <m/>
    <m/>
    <s v="B"/>
    <n v="9384"/>
    <n v="9384"/>
    <s v="2.99"/>
    <s v="28058.16"/>
    <s v="28115.28"/>
    <s v="56.12"/>
    <s v="0"/>
    <s v="1"/>
    <s v="GBP"/>
    <s v="GBP"/>
    <n v="28115.28"/>
  </r>
  <r>
    <x v="1"/>
    <d v="2019-10-07T00:00:00.000"/>
    <s v="3000290"/>
    <s v="4295"/>
    <s v="Confirmed"/>
    <s v="N"/>
    <x v="12"/>
    <d v="2019-10-04T00:00:00.000"/>
    <d v="1899-12-30T15:50:23.000"/>
    <d v="2019-10-08T00:00:00.000"/>
    <s v="Equity"/>
    <m/>
    <s v="B0188P3"/>
    <s v="GB00B0188P35"/>
    <s v="BRY"/>
    <s v="N"/>
    <s v="N"/>
    <s v="N/A"/>
    <m/>
    <m/>
    <m/>
    <s v="S"/>
    <n v="2258601"/>
    <n v="2258601"/>
    <s v="0.02"/>
    <s v="45172.02"/>
    <s v="45080.68"/>
    <s v="90.34"/>
    <s v="0"/>
    <s v="1"/>
    <s v="GBP"/>
    <s v="GBP"/>
    <n v="45080.68"/>
  </r>
  <r>
    <x v="1"/>
    <d v="2019-10-07T00:00:00.000"/>
    <s v="3000290"/>
    <s v="4298"/>
    <s v="Confirmed"/>
    <s v="N"/>
    <x v="8"/>
    <d v="2019-10-04T00:00:00.000"/>
    <d v="1899-12-30T14:57:00.000"/>
    <d v="2019-10-08T00:00:00.000"/>
    <s v="Equity"/>
    <m/>
    <s v="B5TZC71"/>
    <s v="GB00B5TZC716"/>
    <s v="INSE"/>
    <s v="N"/>
    <s v="N"/>
    <s v="N/A"/>
    <m/>
    <m/>
    <m/>
    <s v="B"/>
    <n v="5241821"/>
    <n v="5241821"/>
    <s v="0.15"/>
    <s v="786273.15"/>
    <s v="787846.7"/>
    <s v="1572.55"/>
    <s v="0"/>
    <s v="1"/>
    <s v="GBP"/>
    <s v="GBP"/>
    <n v="787846.7"/>
  </r>
  <r>
    <x v="0"/>
    <d v="2019-10-07T00:00:00.000"/>
    <s v="3000291"/>
    <s v="4299"/>
    <s v="Confirmed"/>
    <s v="N"/>
    <x v="8"/>
    <d v="2019-10-04T00:00:00.000"/>
    <d v="1899-12-30T14:57:00.000"/>
    <d v="2019-10-08T00:00:00.000"/>
    <s v="Equity"/>
    <m/>
    <s v="B5TZC71"/>
    <s v="GB00B5TZC716"/>
    <s v="INSE"/>
    <s v="N"/>
    <s v="N"/>
    <s v="N/A"/>
    <m/>
    <m/>
    <m/>
    <s v="B"/>
    <n v="996945"/>
    <n v="996945"/>
    <s v="0.15"/>
    <s v="149541.75"/>
    <s v="149841.83"/>
    <s v="299.08"/>
    <s v="0"/>
    <s v="1"/>
    <s v="GBP"/>
    <s v="GBP"/>
    <n v="149841.83"/>
  </r>
  <r>
    <x v="2"/>
    <d v="2019-10-07T00:00:00.000"/>
    <s v="3000292"/>
    <s v="4300"/>
    <s v="Confirmed"/>
    <s v="N"/>
    <x v="8"/>
    <d v="2019-10-04T00:00:00.000"/>
    <d v="1899-12-30T14:57:00.000"/>
    <d v="2019-10-08T00:00:00.000"/>
    <s v="Equity"/>
    <m/>
    <s v="B5TZC71"/>
    <s v="GB00B5TZC716"/>
    <s v="INSE"/>
    <s v="N"/>
    <s v="N"/>
    <s v="N/A"/>
    <m/>
    <m/>
    <m/>
    <s v="B"/>
    <n v="80036"/>
    <n v="80036"/>
    <s v="0.15"/>
    <s v="12005.4"/>
    <s v="12030.41"/>
    <s v="24.01"/>
    <s v="0"/>
    <s v="1"/>
    <s v="GBP"/>
    <s v="GBP"/>
    <n v="12030.41"/>
  </r>
  <r>
    <x v="2"/>
    <d v="2019-10-10T00:00:00.000"/>
    <s v="3000292"/>
    <s v="0019"/>
    <s v="Confirmed"/>
    <s v="N"/>
    <x v="2"/>
    <d v="2019-10-09T00:00:00.000"/>
    <d v="1899-12-30T11:01:00.000"/>
    <d v="2019-10-11T00:00:00.000"/>
    <s v="Equity"/>
    <m/>
    <s v="B286382"/>
    <s v="GB00B2863827"/>
    <s v="CVSG"/>
    <s v="N"/>
    <s v="N"/>
    <s v="N/A"/>
    <m/>
    <m/>
    <m/>
    <s v="S"/>
    <n v="2150"/>
    <n v="2150"/>
    <s v="9.855"/>
    <s v="21188.25"/>
    <s v="21144.8735"/>
    <s v="42.3765"/>
    <s v="0"/>
    <s v="1"/>
    <s v="GBP"/>
    <s v="GBP"/>
    <n v="21144.8735"/>
  </r>
  <r>
    <x v="1"/>
    <d v="2019-10-11T00:00:00.000"/>
    <s v="3000290"/>
    <s v="0020"/>
    <s v="Confirmed"/>
    <s v="N"/>
    <x v="3"/>
    <d v="2019-10-10T00:00:00.000"/>
    <d v="1899-12-30T13:22:52.000"/>
    <d v="2019-10-14T00:00:00.000"/>
    <s v="Equity"/>
    <m/>
    <s v="BZBX0P7"/>
    <s v="GB00BZBX0P70"/>
    <s v="GYM"/>
    <s v="N"/>
    <s v="N"/>
    <s v="N/A"/>
    <m/>
    <m/>
    <m/>
    <s v="B"/>
    <n v="385482"/>
    <n v="385482"/>
    <s v="2.5361"/>
    <s v="977620.9002"/>
    <s v="984475.022"/>
    <s v="1955.2418"/>
    <s v="0"/>
    <s v="4898.88"/>
    <s v="GBP"/>
    <s v="GBP"/>
    <n v="984475.022"/>
  </r>
  <r>
    <x v="0"/>
    <d v="2019-10-24T00:00:00.000"/>
    <s v="3000291"/>
    <s v="4538"/>
    <s v="Confirmed"/>
    <s v="N"/>
    <x v="5"/>
    <d v="2019-10-23T00:00:00.000"/>
    <d v="1899-12-30T15:32:25.000"/>
    <d v="2019-10-25T00:00:00.000"/>
    <s v="Equity"/>
    <m/>
    <s v="B4QVDF0"/>
    <s v="GB00B4QVDF07"/>
    <s v="BVXP"/>
    <s v="N"/>
    <s v="N"/>
    <s v="N/A"/>
    <m/>
    <m/>
    <m/>
    <s v="B"/>
    <n v="5000"/>
    <n v="5000"/>
    <s v="31.65"/>
    <s v="158250"/>
    <s v="158567.5"/>
    <s v="316.5"/>
    <s v="0"/>
    <s v="1"/>
    <s v="GBP"/>
    <s v="GBP"/>
    <n v="158567.5"/>
  </r>
  <r>
    <x v="1"/>
    <d v="2019-10-25T00:00:00.000"/>
    <s v="3000290"/>
    <s v="4536"/>
    <s v="Confirmed"/>
    <s v="N"/>
    <x v="11"/>
    <d v="2019-10-23T00:00:00.000"/>
    <d v="1899-12-30T09:00:00.000"/>
    <d v="2019-10-25T00:00:00.000"/>
    <s v="Equity"/>
    <m/>
    <s v="BFZZM64"/>
    <s v="GB00BFZZM640"/>
    <s v="SFOR"/>
    <s v="N"/>
    <s v="Y"/>
    <s v="N"/>
    <m/>
    <m/>
    <m/>
    <s v="B"/>
    <n v="462136"/>
    <n v="462136"/>
    <s v="1.42"/>
    <s v="656233.12"/>
    <s v="656233.12"/>
    <s v="0"/>
    <s v="0"/>
    <s v="0"/>
    <s v="GBP"/>
    <s v="GBP"/>
    <n v="656233.12"/>
  </r>
  <r>
    <x v="0"/>
    <d v="2019-10-25T00:00:00.000"/>
    <s v="3000291"/>
    <s v="0021"/>
    <s v="Confirmed"/>
    <s v="N"/>
    <x v="5"/>
    <d v="2019-10-24T00:00:00.000"/>
    <d v="1899-12-30T11:05:00.000"/>
    <d v="2019-10-28T00:00:00.000"/>
    <m/>
    <m/>
    <s v="B4QVDF0"/>
    <s v="GB00B4QVDF07"/>
    <s v="BVXP"/>
    <s v="N"/>
    <s v="N"/>
    <s v="N/A"/>
    <m/>
    <m/>
    <m/>
    <s v="B"/>
    <n v="7000"/>
    <n v="7000"/>
    <s v="31.65"/>
    <s v="221550"/>
    <s v="221994.1"/>
    <s v="443.1"/>
    <s v="0"/>
    <s v="1"/>
    <s v="GBP"/>
    <s v="GBP"/>
    <n v="221994.1"/>
  </r>
  <r>
    <x v="0"/>
    <d v="2019-10-25T00:00:00.000"/>
    <s v="3000291"/>
    <s v="0022"/>
    <s v="Confirmed"/>
    <s v="N"/>
    <x v="5"/>
    <d v="2019-10-24T00:00:00.000"/>
    <d v="1899-12-30T15:13:13.000"/>
    <d v="2019-10-28T00:00:00.000"/>
    <m/>
    <m/>
    <s v="B4QVDF0"/>
    <s v="GB00B4QVDF07"/>
    <s v="BVXP"/>
    <s v="N"/>
    <s v="N"/>
    <s v="N/A"/>
    <m/>
    <m/>
    <m/>
    <s v="B"/>
    <n v="500"/>
    <n v="500"/>
    <s v="31.65"/>
    <s v="15825"/>
    <s v="15857.65"/>
    <s v="31.65"/>
    <s v="0"/>
    <s v="1"/>
    <s v="GBP"/>
    <s v="GBP"/>
    <n v="15857.65"/>
  </r>
  <r>
    <x v="1"/>
    <d v="2019-11-05T00:00:00.000"/>
    <s v="3000290"/>
    <s v="4614"/>
    <s v="Confirmed"/>
    <s v="N"/>
    <x v="3"/>
    <d v="2019-11-04T00:00:00.000"/>
    <d v="1899-12-30T16:26:54.000"/>
    <d v="2019-11-06T00:00:00.000"/>
    <s v="Equity"/>
    <m/>
    <s v="BJLPH05"/>
    <s v="GB00BJLPH056"/>
    <s v="AGFX"/>
    <s v="N"/>
    <s v="N"/>
    <s v="N/A"/>
    <m/>
    <m/>
    <m/>
    <s v="S"/>
    <n v="129728"/>
    <n v="129728"/>
    <s v="1.54"/>
    <s v="199781.12"/>
    <s v="199380.56"/>
    <s v="399.56"/>
    <s v="0"/>
    <s v="1"/>
    <s v="GBP"/>
    <s v="GBP"/>
    <n v="199380.56"/>
  </r>
  <r>
    <x v="0"/>
    <d v="2019-11-05T00:00:00.000"/>
    <s v="3000291"/>
    <s v="4615"/>
    <s v="Confirmed"/>
    <s v="N"/>
    <x v="3"/>
    <d v="2019-11-04T00:00:00.000"/>
    <d v="1899-12-30T16:26:54.000"/>
    <d v="2019-11-06T00:00:00.000"/>
    <s v="Equity"/>
    <m/>
    <s v="BJLPH05"/>
    <s v="GB00BJLPH056"/>
    <s v="AGFX"/>
    <s v="N"/>
    <s v="N"/>
    <s v="N/A"/>
    <m/>
    <m/>
    <m/>
    <s v="S"/>
    <n v="90272"/>
    <n v="90272"/>
    <s v="1.54"/>
    <s v="139018.88"/>
    <s v="138739.84"/>
    <s v="278.04"/>
    <s v="0"/>
    <s v="1"/>
    <s v="GBP"/>
    <s v="GBP"/>
    <n v="138739.84"/>
  </r>
  <r>
    <x v="2"/>
    <d v="2019-11-07T00:00:00.000"/>
    <s v="3000292"/>
    <s v="4626"/>
    <s v="Confirmed"/>
    <s v="N"/>
    <x v="2"/>
    <d v="2019-11-06T00:00:00.000"/>
    <d v="1899-12-30T11:18:00.000"/>
    <d v="2019-11-08T00:00:00.000"/>
    <s v="Equity"/>
    <m/>
    <s v="B286382"/>
    <s v="GB00B2863827"/>
    <s v="CVSG"/>
    <s v="N"/>
    <s v="N"/>
    <s v="N/A"/>
    <m/>
    <m/>
    <m/>
    <s v="S"/>
    <n v="9850"/>
    <n v="9850"/>
    <s v="9.544036"/>
    <s v="94008.75"/>
    <s v="93819.73"/>
    <s v="188.02"/>
    <s v="0"/>
    <s v="1"/>
    <s v="GBP"/>
    <s v="GBP"/>
    <n v="93819.73"/>
  </r>
  <r>
    <x v="1"/>
    <d v="2019-11-11T00:00:00.000"/>
    <s v="3000290"/>
    <s v="4674"/>
    <s v="Confirmed"/>
    <s v="N"/>
    <x v="3"/>
    <d v="2019-11-08T00:00:00.000"/>
    <d v="1899-12-30T15:58:45.000"/>
    <d v="2019-11-12T00:00:00.000"/>
    <s v="Equity"/>
    <m/>
    <s v="BJLPH05"/>
    <s v="GB00BJLPH056"/>
    <s v="AGFX"/>
    <s v="N"/>
    <s v="N"/>
    <s v="N/A"/>
    <m/>
    <m/>
    <m/>
    <s v="S"/>
    <n v="20639"/>
    <n v="20639"/>
    <s v="1.54"/>
    <s v="31784.06"/>
    <s v="31719.49"/>
    <s v="63.57"/>
    <s v="0"/>
    <s v="1"/>
    <s v="GBP"/>
    <s v="GBP"/>
    <n v="31719.49"/>
  </r>
  <r>
    <x v="0"/>
    <d v="2019-11-11T00:00:00.000"/>
    <s v="3000291"/>
    <s v="4675"/>
    <s v="Confirmed"/>
    <s v="N"/>
    <x v="3"/>
    <d v="2019-11-08T00:00:00.000"/>
    <d v="1899-12-30T15:58:45.000"/>
    <d v="2019-11-12T00:00:00.000"/>
    <s v="Equity"/>
    <m/>
    <s v="BJLPH05"/>
    <s v="GB00BJLPH056"/>
    <s v="AGFX"/>
    <s v="N"/>
    <s v="N"/>
    <s v="N/A"/>
    <m/>
    <m/>
    <m/>
    <s v="S"/>
    <n v="14361"/>
    <n v="14361"/>
    <s v="1.54"/>
    <s v="22115.94"/>
    <s v="22070.71"/>
    <s v="44.23"/>
    <s v="0"/>
    <s v="1"/>
    <s v="GBP"/>
    <s v="GBP"/>
    <n v="22070.71"/>
  </r>
  <r>
    <x v="1"/>
    <d v="2019-11-12T00:00:00.000"/>
    <s v="3000290"/>
    <s v="4684"/>
    <s v="Confirmed"/>
    <s v="N"/>
    <x v="3"/>
    <d v="2019-11-11T00:00:00.000"/>
    <d v="1899-12-30T11:17:08.000"/>
    <d v="2019-11-13T00:00:00.000"/>
    <s v="Equity"/>
    <m/>
    <s v="BJLPH05"/>
    <s v="GB00BJLPH056"/>
    <s v="AGFX"/>
    <s v="N"/>
    <s v="N"/>
    <s v="N/A"/>
    <m/>
    <m/>
    <m/>
    <s v="S"/>
    <n v="117935"/>
    <n v="117935"/>
    <s v="1.571499"/>
    <s v="185334.73"/>
    <s v="184963.06"/>
    <s v="370.67"/>
    <s v="0"/>
    <s v="1"/>
    <s v="GBP"/>
    <s v="GBP"/>
    <n v="184963.06"/>
  </r>
  <r>
    <x v="0"/>
    <d v="2019-11-12T00:00:00.000"/>
    <s v="3000291"/>
    <s v="4685"/>
    <s v="Confirmed"/>
    <s v="N"/>
    <x v="3"/>
    <d v="2019-11-11T00:00:00.000"/>
    <d v="1899-12-30T11:17:08.000"/>
    <d v="2019-11-13T00:00:00.000"/>
    <s v="Equity"/>
    <m/>
    <s v="BJLPH05"/>
    <s v="GB00BJLPH056"/>
    <s v="AGFX"/>
    <s v="N"/>
    <s v="N"/>
    <s v="N/A"/>
    <m/>
    <m/>
    <m/>
    <s v="S"/>
    <n v="82065"/>
    <n v="82065"/>
    <s v="1.571499"/>
    <s v="128965.07"/>
    <s v="128706.14"/>
    <s v="257.93"/>
    <s v="0"/>
    <s v="1"/>
    <s v="GBP"/>
    <s v="GBP"/>
    <n v="128706.14"/>
  </r>
  <r>
    <x v="1"/>
    <d v="2019-11-13T00:00:00.000"/>
    <s v="3000290"/>
    <s v="0023"/>
    <s v="Confirmed"/>
    <s v="N"/>
    <x v="3"/>
    <d v="2019-11-12T00:00:00.000"/>
    <d v="1899-12-30T11:35:05.000"/>
    <d v="2019-11-14T00:00:00.000"/>
    <s v="Equity"/>
    <m/>
    <s v="BJLPH05"/>
    <s v="GB00BJLPH056"/>
    <s v="AGFX"/>
    <s v="N"/>
    <s v="N"/>
    <s v="N/A"/>
    <m/>
    <m/>
    <m/>
    <s v="S"/>
    <n v="117935"/>
    <n v="117935"/>
    <s v="1.64631"/>
    <s v="194157.5699"/>
    <s v="193768.2647"/>
    <s v="388.3051397"/>
    <s v="0"/>
    <s v="1"/>
    <s v="GBP"/>
    <s v="GBP"/>
    <n v="193768.2647"/>
  </r>
  <r>
    <x v="1"/>
    <d v="2019-11-13T00:00:00.000"/>
    <s v="3000290"/>
    <s v="4689"/>
    <s v="Confirmed"/>
    <s v="N"/>
    <x v="8"/>
    <d v="2019-11-12T00:00:00.000"/>
    <d v="1899-12-30T12:50:00.000"/>
    <d v="2019-11-14T00:00:00.000"/>
    <s v="Equity"/>
    <m/>
    <s v="B5TZC71"/>
    <s v="GB00B5TZC716"/>
    <s v="INSE"/>
    <s v="N"/>
    <s v="N"/>
    <s v="N/A"/>
    <m/>
    <m/>
    <m/>
    <s v="B"/>
    <n v="8060571"/>
    <n v="8060571"/>
    <s v="0.14"/>
    <s v="1128479.94"/>
    <s v="1130737.9"/>
    <s v="2256.96"/>
    <s v="0"/>
    <s v="1"/>
    <s v="GBP"/>
    <s v="GBP"/>
    <n v="1130737.9"/>
  </r>
  <r>
    <x v="0"/>
    <d v="2019-11-13T00:00:00.000"/>
    <s v="3000291"/>
    <s v="0024"/>
    <s v="Confirmed"/>
    <s v="N"/>
    <x v="3"/>
    <d v="2019-11-12T00:00:00.000"/>
    <d v="1899-12-30T11:35:05.000"/>
    <d v="2019-11-14T00:00:00.000"/>
    <s v="Equity"/>
    <m/>
    <s v="BJLPH05"/>
    <s v="GB00BJLPH056"/>
    <s v="AGFX"/>
    <s v="N"/>
    <s v="N"/>
    <s v="N/A"/>
    <m/>
    <m/>
    <m/>
    <s v="S"/>
    <n v="82065"/>
    <n v="82065"/>
    <s v="1.64631"/>
    <s v="135104.4302"/>
    <s v="134833.2213"/>
    <s v="270.2088603"/>
    <s v="0"/>
    <s v="1"/>
    <s v="GBP"/>
    <s v="GBP"/>
    <n v="134833.2213"/>
  </r>
  <r>
    <x v="0"/>
    <d v="2019-11-13T00:00:00.000"/>
    <s v="3000291"/>
    <s v="4690"/>
    <s v="Confirmed"/>
    <s v="N"/>
    <x v="8"/>
    <d v="2019-11-12T00:00:00.000"/>
    <d v="1899-12-30T12:50:00.000"/>
    <d v="2019-11-14T00:00:00.000"/>
    <s v="Equity"/>
    <m/>
    <s v="B5TZC71"/>
    <s v="GB00B5TZC716"/>
    <s v="INSE"/>
    <s v="N"/>
    <s v="N"/>
    <s v="N/A"/>
    <m/>
    <m/>
    <m/>
    <s v="B"/>
    <n v="1778177"/>
    <n v="1778177"/>
    <s v="0.14"/>
    <s v="248944.78"/>
    <s v="249443.67"/>
    <s v="497.89"/>
    <s v="0"/>
    <s v="1"/>
    <s v="GBP"/>
    <s v="GBP"/>
    <n v="249443.67"/>
  </r>
  <r>
    <x v="2"/>
    <d v="2019-11-13T00:00:00.000"/>
    <s v="3000292"/>
    <s v="4691"/>
    <s v="Confirmed"/>
    <s v="N"/>
    <x v="8"/>
    <d v="2019-11-12T00:00:00.000"/>
    <d v="1899-12-30T12:50:00.000"/>
    <d v="2019-11-14T00:00:00.000"/>
    <s v="Equity"/>
    <m/>
    <s v="B5TZC71"/>
    <s v="GB00B5TZC716"/>
    <s v="INSE"/>
    <s v="N"/>
    <s v="N"/>
    <s v="N/A"/>
    <m/>
    <m/>
    <m/>
    <s v="B"/>
    <n v="161252"/>
    <n v="161252"/>
    <s v="0.14"/>
    <s v="22575.28"/>
    <s v="22621.43"/>
    <s v="45.15"/>
    <s v="0"/>
    <s v="1"/>
    <s v="GBP"/>
    <s v="GBP"/>
    <n v="22621.43"/>
  </r>
  <r>
    <x v="1"/>
    <d v="2019-11-15T00:00:00.000"/>
    <s v="3000290"/>
    <s v="0023"/>
    <s v="Confirmed"/>
    <s v="N"/>
    <x v="3"/>
    <d v="2019-11-14T00:00:00.000"/>
    <d v="1899-12-30T13:11:08.000"/>
    <d v="2019-11-18T00:00:00.000"/>
    <s v="Equity"/>
    <m/>
    <s v="BJLPH05"/>
    <s v="GB00BJLPH056"/>
    <s v="AGFX"/>
    <s v="N"/>
    <s v="N"/>
    <s v="N/A"/>
    <m/>
    <m/>
    <m/>
    <s v="S"/>
    <n v="176902"/>
    <n v="117935"/>
    <s v="1.675662"/>
    <s v="296427.9591"/>
    <s v="295834.1032"/>
    <s v="592.8559182"/>
    <s v="0"/>
    <s v="1"/>
    <s v="GBP"/>
    <s v="GBP"/>
    <n v="295834.1032"/>
  </r>
  <r>
    <x v="0"/>
    <d v="2019-11-15T00:00:00.000"/>
    <s v="3000291"/>
    <s v="0024"/>
    <s v="Confirmed"/>
    <s v="N"/>
    <x v="3"/>
    <d v="2019-11-14T00:00:00.000"/>
    <d v="1899-12-30T13:11:08.000"/>
    <d v="2019-11-18T00:00:00.000"/>
    <s v="Equity"/>
    <m/>
    <s v="BJLPH05"/>
    <s v="GB00BJLPH056"/>
    <s v="AGFX"/>
    <s v="N"/>
    <s v="N"/>
    <s v="N/A"/>
    <m/>
    <m/>
    <m/>
    <s v="S"/>
    <n v="123098"/>
    <n v="123098"/>
    <s v="1.675662"/>
    <s v="206270.6409"/>
    <s v="205857.0996"/>
    <s v="412.5412818"/>
    <s v="0"/>
    <s v="1"/>
    <s v="GBP"/>
    <s v="GBP"/>
    <n v="205857.0996"/>
  </r>
  <r>
    <x v="1"/>
    <d v="2019-11-18T00:00:00.000"/>
    <s v="3000290"/>
    <s v="4810"/>
    <s v="Confirmed"/>
    <s v="N"/>
    <x v="3"/>
    <d v="2019-11-15T00:00:00.000"/>
    <d v="1899-12-30T13:38:52.000"/>
    <d v="2019-11-19T00:00:00.000"/>
    <s v="Equity"/>
    <m/>
    <s v="BJLPH05"/>
    <s v="GB00BJLPH056"/>
    <s v="AGFX"/>
    <s v="N"/>
    <s v="N"/>
    <s v="N/A"/>
    <m/>
    <m/>
    <m/>
    <s v="S"/>
    <n v="117935"/>
    <n v="117935"/>
    <s v="1.712"/>
    <s v="201904.72"/>
    <s v="201499.91"/>
    <s v="403.81"/>
    <s v="0"/>
    <s v="1"/>
    <s v="GBP"/>
    <s v="GBP"/>
    <n v="201499.91"/>
  </r>
  <r>
    <x v="1"/>
    <d v="2019-11-18T00:00:00.000"/>
    <s v="3000290"/>
    <s v="4807"/>
    <s v="Confirmed"/>
    <s v="N"/>
    <x v="3"/>
    <d v="2019-11-15T00:00:00.000"/>
    <d v="1899-12-30T15:41:43.000"/>
    <d v="2019-11-19T00:00:00.000"/>
    <s v="Equity"/>
    <m/>
    <s v="BJLPH05"/>
    <s v="GB00BJLPH056"/>
    <s v="AGFX"/>
    <s v="N"/>
    <s v="N"/>
    <s v="N/A"/>
    <m/>
    <m/>
    <m/>
    <s v="S"/>
    <n v="14742"/>
    <n v="14742"/>
    <s v="1.72"/>
    <s v="25356.24"/>
    <s v="25304.53"/>
    <s v="50.71"/>
    <s v="0"/>
    <s v="1"/>
    <s v="GBP"/>
    <s v="GBP"/>
    <n v="25304.53"/>
  </r>
  <r>
    <x v="0"/>
    <d v="2019-11-18T00:00:00.000"/>
    <s v="3000291"/>
    <s v="4811"/>
    <s v="Confirmed"/>
    <s v="N"/>
    <x v="3"/>
    <d v="2019-11-15T00:00:00.000"/>
    <d v="1899-12-30T13:38:52.000"/>
    <d v="2019-11-19T00:00:00.000"/>
    <s v="Equity"/>
    <m/>
    <s v="BJLPH05"/>
    <s v="GB00BJLPH056"/>
    <s v="AGFX"/>
    <s v="N"/>
    <s v="N"/>
    <s v="N/A"/>
    <m/>
    <m/>
    <m/>
    <s v="S"/>
    <n v="82065"/>
    <n v="82065"/>
    <s v="1.712"/>
    <s v="140495.28"/>
    <s v="140213.29"/>
    <s v="280.99"/>
    <s v="0"/>
    <s v="1"/>
    <s v="GBP"/>
    <s v="GBP"/>
    <n v="140213.29"/>
  </r>
  <r>
    <x v="0"/>
    <d v="2019-11-18T00:00:00.000"/>
    <s v="3000291"/>
    <s v="4808"/>
    <s v="Confirmed"/>
    <s v="N"/>
    <x v="3"/>
    <d v="2019-11-15T00:00:00.000"/>
    <d v="1899-12-30T15:41:43.000"/>
    <d v="2019-11-19T00:00:00.000"/>
    <s v="Equity"/>
    <m/>
    <s v="BJLPH05"/>
    <s v="GB00BJLPH056"/>
    <s v="AGFX"/>
    <s v="N"/>
    <s v="N"/>
    <s v="N/A"/>
    <m/>
    <m/>
    <m/>
    <s v="S"/>
    <n v="10258"/>
    <n v="10258"/>
    <s v="1.72"/>
    <s v="17643.76"/>
    <s v="17607.47"/>
    <s v="35.29"/>
    <s v="0"/>
    <s v="1"/>
    <s v="GBP"/>
    <s v="GBP"/>
    <n v="17607.47"/>
  </r>
  <r>
    <x v="1"/>
    <d v="2019-11-19T00:00:00.000"/>
    <s v="3000290"/>
    <s v="4832"/>
    <s v="Confirmed"/>
    <s v="N"/>
    <x v="12"/>
    <d v="2019-11-18T00:00:00.000"/>
    <d v="1899-12-30T15:40:04.000"/>
    <d v="2019-11-20T00:00:00.000"/>
    <s v="Equity"/>
    <m/>
    <s v="BK63S75"/>
    <s v="GB00BK63S759"/>
    <s v="BRCK"/>
    <s v="N"/>
    <s v="N"/>
    <s v="N/A"/>
    <m/>
    <m/>
    <m/>
    <s v="S"/>
    <n v="48972"/>
    <n v="48972"/>
    <s v="0.65"/>
    <s v="31831.8"/>
    <s v="31767.14"/>
    <s v="63.66"/>
    <s v="0"/>
    <s v="1"/>
    <s v="GBP"/>
    <s v="GBP"/>
    <n v="31767.14"/>
  </r>
  <r>
    <x v="1"/>
    <d v="2019-11-19T00:00:00.000"/>
    <s v="3000290"/>
    <s v="4819"/>
    <s v="Confirmed"/>
    <s v="N"/>
    <x v="12"/>
    <d v="2019-11-18T00:00:00.000"/>
    <d v="1899-12-30T14:06:20.000"/>
    <d v="2019-11-20T00:00:00.000"/>
    <s v="Equity"/>
    <m/>
    <s v="BD6P7Y2"/>
    <s v="GB00BD6P7Y24"/>
    <s v="FRAN"/>
    <s v="N"/>
    <s v="N"/>
    <s v="N/A"/>
    <m/>
    <m/>
    <m/>
    <s v="B"/>
    <n v="40000"/>
    <n v="40000"/>
    <s v="1.04"/>
    <s v="41600"/>
    <s v="41684.2"/>
    <s v="83.2"/>
    <s v="0"/>
    <s v="1"/>
    <s v="GBP"/>
    <s v="GBP"/>
    <n v="41684.2"/>
  </r>
  <r>
    <x v="1"/>
    <d v="2019-11-19T00:00:00.000"/>
    <s v="3000290"/>
    <s v="4824"/>
    <s v="Confirmed"/>
    <s v="N"/>
    <x v="3"/>
    <d v="2019-11-18T00:00:00.000"/>
    <d v="1899-12-30T11:15:18.000"/>
    <d v="2019-11-20T00:00:00.000"/>
    <s v="Equity"/>
    <m/>
    <s v="BJLPH05"/>
    <s v="GB00BJLPH056"/>
    <s v="AGFX"/>
    <s v="N"/>
    <s v="N"/>
    <s v="N/A"/>
    <m/>
    <m/>
    <m/>
    <s v="S"/>
    <n v="103193"/>
    <n v="103193"/>
    <s v="1.733429"/>
    <s v="178877.74"/>
    <s v="178518.98"/>
    <s v="357.76"/>
    <s v="0"/>
    <s v="1"/>
    <s v="GBP"/>
    <s v="GBP"/>
    <n v="178518.98"/>
  </r>
  <r>
    <x v="0"/>
    <d v="2019-11-19T00:00:00.000"/>
    <s v="3000291"/>
    <s v="4825"/>
    <s v="Confirmed"/>
    <s v="N"/>
    <x v="3"/>
    <d v="2019-11-18T00:00:00.000"/>
    <d v="1899-12-30T11:15:18.000"/>
    <d v="2019-11-20T00:00:00.000"/>
    <s v="Equity"/>
    <m/>
    <s v="BJLPH05"/>
    <s v="GB00BJLPH056"/>
    <s v="AGFX"/>
    <s v="N"/>
    <s v="N"/>
    <s v="N/A"/>
    <m/>
    <m/>
    <m/>
    <s v="S"/>
    <n v="71807"/>
    <n v="71807"/>
    <s v="1.733429"/>
    <s v="124472.34"/>
    <s v="124222.4"/>
    <s v="248.94"/>
    <s v="0"/>
    <s v="1"/>
    <s v="GBP"/>
    <s v="GBP"/>
    <n v="124222.4"/>
  </r>
  <r>
    <x v="2"/>
    <d v="2019-11-19T00:00:00.000"/>
    <s v="3000292"/>
    <s v="4833"/>
    <s v="Confirmed"/>
    <s v="N"/>
    <x v="12"/>
    <d v="2019-11-18T00:00:00.000"/>
    <d v="1899-12-30T15:40:04.000"/>
    <d v="2019-11-20T00:00:00.000"/>
    <s v="Equity"/>
    <m/>
    <s v="BK63S75"/>
    <s v="GB00BK63S759"/>
    <s v="BRCK"/>
    <s v="N"/>
    <s v="N"/>
    <s v="N/A"/>
    <m/>
    <m/>
    <m/>
    <s v="S"/>
    <n v="1028"/>
    <n v="1028"/>
    <s v="0.65"/>
    <s v="668.2"/>
    <s v="666.86"/>
    <s v="1.34"/>
    <s v="0"/>
    <s v="0"/>
    <s v="GBP"/>
    <s v="GBP"/>
    <n v="666.86"/>
  </r>
  <r>
    <x v="1"/>
    <d v="2019-11-21T00:00:00.000"/>
    <s v="3000290"/>
    <s v="4867"/>
    <s v="Confirmed"/>
    <s v="N"/>
    <x v="15"/>
    <d v="2019-11-20T00:00:00.000"/>
    <d v="1899-12-30T17:23:37.000"/>
    <d v="2019-11-22T00:00:00.000"/>
    <s v="Equity"/>
    <m/>
    <s v="0006053"/>
    <s v="GB0000060532"/>
    <s v="NET"/>
    <s v="N"/>
    <s v="N"/>
    <s v="N/A"/>
    <m/>
    <m/>
    <m/>
    <s v="B"/>
    <n v="750000"/>
    <n v="750000"/>
    <s v="0.222"/>
    <s v="166500"/>
    <s v="166834"/>
    <s v="333"/>
    <s v="0"/>
    <s v="1"/>
    <s v="GBP"/>
    <s v="GBP"/>
    <n v="166834"/>
  </r>
  <r>
    <x v="2"/>
    <d v="2019-11-21T00:00:00.000"/>
    <s v="3000292"/>
    <s v="4860"/>
    <s v="Confirmed"/>
    <s v="N"/>
    <x v="3"/>
    <d v="2019-11-20T00:00:00.000"/>
    <d v="1899-12-30T11:18:51.000"/>
    <d v="2019-11-22T00:00:00.000"/>
    <s v="Equity"/>
    <m/>
    <s v="BYN5913"/>
    <s v="GB00BYN59130"/>
    <s v="DOM"/>
    <s v="N"/>
    <s v="N"/>
    <s v="N/A"/>
    <m/>
    <m/>
    <m/>
    <s v="S"/>
    <n v="8000"/>
    <n v="8000"/>
    <s v="2.946"/>
    <s v="23568"/>
    <s v="23519.86"/>
    <s v="47.14"/>
    <s v="0"/>
    <s v="1"/>
    <s v="GBP"/>
    <s v="GBP"/>
    <n v="23519.86"/>
  </r>
  <r>
    <x v="2"/>
    <d v="2019-11-21T00:00:00.000"/>
    <s v="3000292"/>
    <s v="4857"/>
    <s v="Confirmed"/>
    <s v="N"/>
    <x v="9"/>
    <d v="2019-11-20T00:00:00.000"/>
    <d v="1899-12-30T11:35:22.000"/>
    <d v="2019-11-22T00:00:00.000"/>
    <s v="Equity"/>
    <m/>
    <s v="0687061"/>
    <s v="GB0006870611"/>
    <s v="GBG"/>
    <s v="N"/>
    <s v="N"/>
    <s v="N/A"/>
    <m/>
    <m/>
    <m/>
    <s v="S"/>
    <n v="2200"/>
    <n v="2200"/>
    <s v="6.5"/>
    <s v="14300"/>
    <s v="14270.4"/>
    <s v="28.6"/>
    <s v="0"/>
    <s v="1"/>
    <s v="GBP"/>
    <s v="GBP"/>
    <n v="14270.4"/>
  </r>
  <r>
    <x v="1"/>
    <d v="2019-11-22T00:00:00.000"/>
    <s v="3000290"/>
    <s v="4891"/>
    <s v="Confirmed"/>
    <s v="N"/>
    <x v="8"/>
    <d v="2019-11-21T00:00:00.000"/>
    <d v="1899-12-30T16:17:00.000"/>
    <d v="2019-11-25T00:00:00.000"/>
    <s v="Equity"/>
    <m/>
    <s v="BQ8NYV1"/>
    <s v="IM00BQ8NYV14"/>
    <s v="KAPE"/>
    <s v="N"/>
    <s v="N"/>
    <s v="N/A"/>
    <m/>
    <m/>
    <m/>
    <s v="B"/>
    <n v="1250000"/>
    <n v="1250000"/>
    <s v="1.15"/>
    <s v="1437500"/>
    <s v="1440376"/>
    <s v="2875"/>
    <s v="0"/>
    <s v="1"/>
    <s v="GBP"/>
    <s v="GBP"/>
    <n v="1440376"/>
  </r>
  <r>
    <x v="1"/>
    <d v="2019-11-22T00:00:00.000"/>
    <s v="3000290"/>
    <s v="4894"/>
    <s v="Confirmed"/>
    <s v="N"/>
    <x v="5"/>
    <d v="2019-11-21T00:00:00.000"/>
    <d v="1899-12-30T16:37:56.000"/>
    <d v="2019-11-25T00:00:00.000"/>
    <s v="Equity"/>
    <m/>
    <s v="0006053"/>
    <s v="GB0000060532"/>
    <s v="NET"/>
    <s v="N"/>
    <s v="N"/>
    <s v="N/A"/>
    <m/>
    <m/>
    <m/>
    <s v="B"/>
    <n v="818635"/>
    <n v="818635"/>
    <s v="0.240182"/>
    <s v="196621.39"/>
    <s v="197015.63"/>
    <s v="393.24"/>
    <s v="0"/>
    <s v="1"/>
    <s v="GBP"/>
    <s v="GBP"/>
    <n v="197015.63"/>
  </r>
  <r>
    <x v="0"/>
    <d v="2019-11-25T00:00:00.000"/>
    <s v="3000291"/>
    <s v="4926"/>
    <s v="Confirmed"/>
    <s v="N"/>
    <x v="17"/>
    <d v="2019-11-21T00:00:00.000"/>
    <d v="1899-12-30T14:42:54.000"/>
    <d v="2019-11-25T00:00:00.000"/>
    <s v="Equity"/>
    <m/>
    <s v="B1FP891"/>
    <s v="GB00B1FP8915"/>
    <s v="BBA"/>
    <s v="N"/>
    <s v="N"/>
    <s v="N"/>
    <m/>
    <m/>
    <m/>
    <s v="B"/>
    <n v="194905"/>
    <n v="194905"/>
    <s v="3.0958"/>
    <s v="603386.9"/>
    <s v="607617.64"/>
    <s v="1206.77"/>
    <s v="0"/>
    <s v="3023.97"/>
    <s v="GBP"/>
    <s v="GBP"/>
    <n v="607617.64"/>
  </r>
  <r>
    <x v="1"/>
    <d v="2019-11-25T00:00:00.000"/>
    <s v="3000290"/>
    <s v="4973"/>
    <s v="Confirmed"/>
    <s v="N"/>
    <x v="5"/>
    <d v="2019-11-22T00:00:00.000"/>
    <d v="1899-12-30T13:01:00.000"/>
    <d v="2019-11-26T00:00:00.000"/>
    <s v="Equity"/>
    <m/>
    <s v="0006053"/>
    <s v="GB0000060532"/>
    <s v="NET"/>
    <s v="N"/>
    <s v="N"/>
    <s v="N"/>
    <m/>
    <m/>
    <m/>
    <s v="B"/>
    <n v="360048"/>
    <n v="360048"/>
    <s v="0.25"/>
    <s v="90012"/>
    <s v="90193.02"/>
    <s v="180.02"/>
    <s v="0"/>
    <s v="1"/>
    <s v="GBP"/>
    <s v="GBP"/>
    <n v="90193.02"/>
  </r>
  <r>
    <x v="1"/>
    <d v="2019-11-25T00:00:00.000"/>
    <s v="3000290"/>
    <s v="4967"/>
    <s v="Confirmed"/>
    <s v="N"/>
    <x v="3"/>
    <d v="2019-11-22T00:00:00.000"/>
    <d v="1899-12-30T16:36:53.000"/>
    <d v="2019-11-26T00:00:00.000"/>
    <s v="Equity"/>
    <m/>
    <s v="BZBX0P7"/>
    <s v="GB00BZBX0P70"/>
    <s v="GYM"/>
    <s v="N"/>
    <s v="N"/>
    <s v="N"/>
    <m/>
    <m/>
    <m/>
    <s v="B"/>
    <n v="11898"/>
    <n v="11898"/>
    <s v="2.622366"/>
    <s v="31200.91"/>
    <s v="31420.63"/>
    <s v="62.4"/>
    <s v="0"/>
    <s v="157.32"/>
    <s v="GBP"/>
    <s v="GBP"/>
    <n v="31420.63"/>
  </r>
  <r>
    <x v="1"/>
    <d v="2019-11-25T00:00:00.000"/>
    <s v="3000290"/>
    <s v="4948"/>
    <s v="Confirmed"/>
    <s v="N"/>
    <x v="7"/>
    <d v="2019-11-22T00:00:00.000"/>
    <d v="1899-12-30T16:28:58.000"/>
    <d v="2019-11-26T00:00:00.000"/>
    <s v="Equity"/>
    <m/>
    <s v="BH4JR00"/>
    <s v="GB00BH4JR002"/>
    <s v="LGRS"/>
    <s v="N"/>
    <s v="N"/>
    <s v="N"/>
    <m/>
    <m/>
    <m/>
    <s v="B"/>
    <n v="712500"/>
    <n v="712500"/>
    <s v="1.885"/>
    <s v="1343062.5"/>
    <s v="1345749.63"/>
    <s v="2686.13"/>
    <s v="0"/>
    <s v="1"/>
    <s v="GBP"/>
    <s v="GBP"/>
    <n v="1345749.63"/>
  </r>
  <r>
    <x v="1"/>
    <d v="2019-11-25T00:00:00.000"/>
    <s v="3000290"/>
    <s v="4956"/>
    <s v="Confirmed"/>
    <s v="N"/>
    <x v="8"/>
    <d v="2019-11-22T00:00:00.000"/>
    <d v="1899-12-30T15:40:09.000"/>
    <d v="2019-11-26T00:00:00.000"/>
    <s v="Equity"/>
    <m/>
    <s v="BQ8NYV1"/>
    <s v="IM00BQ8NYV14"/>
    <s v="KAPE"/>
    <s v="N"/>
    <s v="N"/>
    <s v="N"/>
    <m/>
    <m/>
    <m/>
    <s v="B"/>
    <n v="125000"/>
    <n v="125000"/>
    <s v="1.2225"/>
    <s v="152812.5"/>
    <s v="153119.13"/>
    <s v="305.63"/>
    <s v="0"/>
    <s v="1"/>
    <s v="GBP"/>
    <s v="GBP"/>
    <n v="153119.13"/>
  </r>
  <r>
    <x v="1"/>
    <d v="2019-11-25T00:00:00.000"/>
    <s v="3000290"/>
    <s v="4953"/>
    <s v="Confirmed"/>
    <s v="N"/>
    <x v="12"/>
    <d v="2019-11-22T00:00:00.000"/>
    <d v="1899-12-30T15:17:00.000"/>
    <d v="2019-11-26T00:00:00.000"/>
    <s v="Equity"/>
    <m/>
    <s v="BF020D3"/>
    <s v="GB00BF020D33"/>
    <s v="TEG"/>
    <s v="N"/>
    <s v="N"/>
    <s v="N"/>
    <m/>
    <m/>
    <m/>
    <s v="B"/>
    <n v="100000"/>
    <n v="100000"/>
    <s v="2.58"/>
    <s v="258000"/>
    <s v="259809.58"/>
    <s v="516"/>
    <s v="0"/>
    <s v="1293.58"/>
    <s v="GBP"/>
    <s v="GBP"/>
    <n v="259809.58"/>
  </r>
  <r>
    <x v="1"/>
    <d v="2019-11-25T00:00:00.000"/>
    <s v="3000290"/>
    <s v="4944"/>
    <s v="Confirmed"/>
    <s v="N"/>
    <x v="1"/>
    <d v="2019-11-22T00:00:00.000"/>
    <d v="1899-12-30T15:29:49.000"/>
    <d v="2019-11-26T00:00:00.000"/>
    <s v="Equity"/>
    <m/>
    <s v="BF1XGQ0"/>
    <s v="GB00BF1XGQ00"/>
    <s v="ANG"/>
    <s v="N"/>
    <s v="N"/>
    <s v="N"/>
    <m/>
    <m/>
    <m/>
    <s v="B"/>
    <n v="1750000"/>
    <n v="1750000"/>
    <s v="0.62"/>
    <s v="1085000"/>
    <s v="1087171"/>
    <s v="2170"/>
    <s v="0"/>
    <s v="1"/>
    <s v="GBP"/>
    <s v="GBP"/>
    <n v="1087171"/>
  </r>
  <r>
    <x v="0"/>
    <d v="2019-11-25T00:00:00.000"/>
    <s v="3000291"/>
    <s v="0025"/>
    <s v="Confirmed"/>
    <s v="N"/>
    <x v="17"/>
    <d v="2019-11-20T00:00:00.000"/>
    <d v="1899-12-30T11:01:00.000"/>
    <d v="2019-11-22T00:00:00.000"/>
    <s v="Equity"/>
    <m/>
    <s v="B1FP891"/>
    <s v="GB00B1FP8915"/>
    <s v="BBA"/>
    <s v="N"/>
    <s v="N"/>
    <s v="N"/>
    <m/>
    <m/>
    <m/>
    <s v="B"/>
    <n v="9206"/>
    <n v="194905"/>
    <s v="3.0567"/>
    <s v="28139.9802"/>
    <s v="28338.2402"/>
    <s v="56.28"/>
    <s v="0"/>
    <s v="141.98"/>
    <s v="GBP"/>
    <s v="GBP"/>
    <n v="28338.2402"/>
  </r>
  <r>
    <x v="1"/>
    <d v="2019-11-25T00:00:00.000"/>
    <s v="3000290"/>
    <s v="0026"/>
    <s v="Confirmed"/>
    <s v="N"/>
    <x v="1"/>
    <d v="2019-11-22T00:00:00.000"/>
    <d v="1899-12-30T15:28:54.000"/>
    <d v="2019-11-26T00:00:00.000"/>
    <s v="Equity"/>
    <m/>
    <s v="0918642"/>
    <s v="GB0009186429"/>
    <s v="FIF"/>
    <s v="N"/>
    <s v="N"/>
    <s v="N"/>
    <m/>
    <m/>
    <m/>
    <s v="B"/>
    <n v="50000"/>
    <n v="194905"/>
    <s v="0.82"/>
    <s v="41000"/>
    <s v="41083"/>
    <s v="82"/>
    <s v="0"/>
    <s v="1"/>
    <s v="GBP"/>
    <s v="GBP"/>
    <n v="41083"/>
  </r>
  <r>
    <x v="1"/>
    <d v="2019-11-25T00:00:00.000"/>
    <s v="3000290"/>
    <s v="0027"/>
    <s v="Confirmed"/>
    <s v="N"/>
    <x v="3"/>
    <d v="2019-11-22T00:00:00.000"/>
    <d v="1899-12-30T11:01:00.000"/>
    <d v="2019-11-26T00:00:00.000"/>
    <s v="Equity"/>
    <m/>
    <s v="BJLPH05"/>
    <s v="GB00BJLPH056"/>
    <s v="AGFX"/>
    <s v="N"/>
    <s v="N"/>
    <s v="N"/>
    <m/>
    <m/>
    <m/>
    <s v="S"/>
    <n v="20639"/>
    <n v="194905"/>
    <s v="1.77"/>
    <s v="36531.03"/>
    <s v="36456.97"/>
    <s v="73.06"/>
    <s v="0"/>
    <s v="1"/>
    <s v="GBP"/>
    <s v="GBP"/>
    <n v="36456.97"/>
  </r>
  <r>
    <x v="0"/>
    <d v="2019-11-25T00:00:00.000"/>
    <s v="3000291"/>
    <s v="0028"/>
    <s v="Confirmed"/>
    <s v="N"/>
    <x v="3"/>
    <d v="2019-11-22T00:00:00.000"/>
    <d v="1899-12-30T11:01:00.000"/>
    <d v="2019-11-26T00:00:00.000"/>
    <s v="Equity"/>
    <m/>
    <s v="BJLPH05"/>
    <s v="GB00BJLPH056"/>
    <s v="AGFX"/>
    <s v="N"/>
    <s v="N"/>
    <s v="N"/>
    <m/>
    <m/>
    <m/>
    <s v="S"/>
    <n v="14361"/>
    <n v="194905"/>
    <s v="1.77"/>
    <s v="25418.97"/>
    <s v="25367.13"/>
    <s v="50.84"/>
    <s v="0"/>
    <s v="1"/>
    <s v="GBP"/>
    <s v="GBP"/>
    <n v="25367.13"/>
  </r>
  <r>
    <x v="1"/>
    <d v="2019-11-26T00:00:00.000"/>
    <s v="3000290"/>
    <s v="5043"/>
    <s v="Confirmed"/>
    <s v="N"/>
    <x v="8"/>
    <d v="2019-11-25T00:00:00.000"/>
    <d v="1899-12-30T11:01:00.000"/>
    <d v="2019-11-27T00:00:00.000"/>
    <s v="Equity"/>
    <m/>
    <s v="BQ8NYV1"/>
    <s v="IM00BQ8NYV14"/>
    <s v="KAPE"/>
    <s v="N"/>
    <s v="N"/>
    <s v="N"/>
    <m/>
    <m/>
    <m/>
    <s v="B"/>
    <n v="85000"/>
    <n v="85000"/>
    <s v="1.2225"/>
    <s v="103912.5"/>
    <s v="104121.33"/>
    <s v="207.83"/>
    <s v="0"/>
    <s v="1"/>
    <s v="GBP"/>
    <s v="GBP"/>
    <n v="104121.33"/>
  </r>
  <r>
    <x v="1"/>
    <d v="2019-11-26T00:00:00.000"/>
    <s v="3000290"/>
    <s v="4997"/>
    <s v="Confirmed"/>
    <s v="N"/>
    <x v="5"/>
    <d v="2019-11-25T00:00:00.000"/>
    <d v="1899-12-30T15:48:29.000"/>
    <d v="2019-11-27T00:00:00.000"/>
    <s v="Equity"/>
    <m/>
    <s v="0006053"/>
    <s v="GB0000060532"/>
    <s v="NET"/>
    <s v="N"/>
    <s v="N"/>
    <s v="N"/>
    <m/>
    <m/>
    <m/>
    <s v="B"/>
    <n v="1000000"/>
    <n v="1000000"/>
    <s v="0.26"/>
    <s v="260000"/>
    <s v="260521"/>
    <s v="520"/>
    <s v="0"/>
    <s v="1"/>
    <s v="GBP"/>
    <s v="GBP"/>
    <n v="260521"/>
  </r>
  <r>
    <x v="1"/>
    <d v="2019-11-27T00:00:00.000"/>
    <s v="3000290"/>
    <s v="5069"/>
    <s v="Confirmed"/>
    <s v="N"/>
    <x v="8"/>
    <d v="2019-11-26T00:00:00.000"/>
    <d v="1899-12-30T09:09:32.000"/>
    <d v="2019-11-28T00:00:00.000"/>
    <s v="Equity"/>
    <m/>
    <s v="BQ8NYV1"/>
    <s v="IM00BQ8NYV14"/>
    <s v="KAPE"/>
    <s v="N"/>
    <s v="N"/>
    <s v="N"/>
    <m/>
    <m/>
    <m/>
    <s v="B"/>
    <n v="150000"/>
    <n v="150000"/>
    <s v="1.243"/>
    <s v="186450"/>
    <s v="186823.9"/>
    <s v="372.9"/>
    <s v="0"/>
    <s v="1"/>
    <s v="GBP"/>
    <s v="GBP"/>
    <n v="186823.9"/>
  </r>
  <r>
    <x v="1"/>
    <d v="2019-11-27T00:00:00.000"/>
    <s v="3000290"/>
    <s v="5072"/>
    <s v="Confirmed"/>
    <s v="N"/>
    <x v="8"/>
    <d v="2019-11-26T00:00:00.000"/>
    <d v="1899-12-30T11:26:42.000"/>
    <d v="2019-11-28T00:00:00.000"/>
    <s v="Equity"/>
    <m/>
    <s v="BQ8NYV1"/>
    <s v="IM00BQ8NYV14"/>
    <s v="KAPE"/>
    <s v="N"/>
    <s v="N"/>
    <s v="N"/>
    <m/>
    <m/>
    <m/>
    <s v="B"/>
    <n v="162500"/>
    <n v="162500"/>
    <s v="1.243"/>
    <s v="201987.5"/>
    <s v="202392.48"/>
    <s v="403.98"/>
    <s v="0"/>
    <s v="1"/>
    <s v="GBP"/>
    <s v="GBP"/>
    <n v="202392.48"/>
  </r>
  <r>
    <x v="1"/>
    <d v="2019-11-28T00:00:00.000"/>
    <s v="3000290"/>
    <s v="5123"/>
    <s v="Confirmed"/>
    <s v="N"/>
    <x v="5"/>
    <d v="2019-11-27T00:00:00.000"/>
    <d v="1899-12-30T16:34:47.000"/>
    <d v="2019-11-29T00:00:00.000"/>
    <s v="Equity"/>
    <m/>
    <s v="0006053"/>
    <s v="GB0000060532"/>
    <s v="NET"/>
    <s v="N"/>
    <s v="N"/>
    <s v="N"/>
    <m/>
    <m/>
    <m/>
    <s v="B"/>
    <n v="283000"/>
    <n v="283000"/>
    <s v="0.259621"/>
    <s v="73472.74"/>
    <s v="73620.69"/>
    <s v="146.95"/>
    <s v="0"/>
    <s v="1"/>
    <s v="GBP"/>
    <s v="GBP"/>
    <n v="73620.69"/>
  </r>
  <r>
    <x v="1"/>
    <d v="2019-11-28T00:00:00.000"/>
    <s v="3000290"/>
    <s v="5117"/>
    <s v="Confirmed"/>
    <s v="N"/>
    <x v="3"/>
    <d v="2019-11-27T00:00:00.000"/>
    <d v="1899-12-30T14:32:34.000"/>
    <d v="2019-11-29T00:00:00.000"/>
    <s v="Equity"/>
    <m/>
    <s v="BZBX0P7"/>
    <s v="GB00BZBX0P70"/>
    <s v="GYM"/>
    <s v="N"/>
    <s v="N"/>
    <s v="N"/>
    <m/>
    <m/>
    <m/>
    <s v="B"/>
    <n v="388102"/>
    <n v="388102"/>
    <s v="2.649729"/>
    <s v="1028365.12"/>
    <s v="1035574.96"/>
    <s v="2056.73"/>
    <s v="0"/>
    <s v="5153.11"/>
    <s v="GBP"/>
    <s v="GBP"/>
    <n v="1035574.96"/>
  </r>
  <r>
    <x v="1"/>
    <d v="2019-11-28T00:00:00.000"/>
    <s v="3000290"/>
    <s v="5090"/>
    <s v="Confirmed"/>
    <s v="N"/>
    <x v="12"/>
    <d v="2019-11-27T00:00:00.000"/>
    <d v="1899-12-30T13:57:59.000"/>
    <d v="2019-11-29T00:00:00.000"/>
    <s v="Equity"/>
    <m/>
    <s v="BLBP4Y2"/>
    <s v="GB00BLBP4Y22"/>
    <s v="IMO"/>
    <s v="N"/>
    <s v="N"/>
    <s v="N"/>
    <m/>
    <m/>
    <m/>
    <s v="S"/>
    <n v="100000"/>
    <n v="100000"/>
    <s v="3.205"/>
    <s v="320500"/>
    <s v="319858"/>
    <s v="641"/>
    <s v="0"/>
    <s v="1"/>
    <s v="GBP"/>
    <s v="GBP"/>
    <n v="319858"/>
  </r>
  <r>
    <x v="1"/>
    <d v="2019-11-28T00:00:00.000"/>
    <s v="3000290"/>
    <s v="5098"/>
    <s v="Confirmed"/>
    <s v="N"/>
    <x v="8"/>
    <d v="2019-11-27T00:00:00.000"/>
    <d v="1899-12-30T11:23:14.000"/>
    <d v="2019-11-29T00:00:00.000"/>
    <s v="Equity"/>
    <m/>
    <s v="BQ8NYV1"/>
    <s v="IM00BQ8NYV14"/>
    <s v="KAPE"/>
    <s v="N"/>
    <s v="N"/>
    <s v="N"/>
    <m/>
    <m/>
    <m/>
    <s v="B"/>
    <n v="236000"/>
    <n v="236000"/>
    <s v="1.28"/>
    <s v="302080"/>
    <s v="302685.16"/>
    <s v="604.16"/>
    <s v="0"/>
    <s v="1"/>
    <s v="GBP"/>
    <s v="GBP"/>
    <n v="302685.16"/>
  </r>
  <r>
    <x v="1"/>
    <d v="2019-11-29T00:00:00.000"/>
    <s v="3000290"/>
    <s v="5165"/>
    <s v="Confirmed"/>
    <s v="N"/>
    <x v="7"/>
    <d v="2019-11-29T00:00:00.000"/>
    <d v="1899-12-30T10:11:09.000"/>
    <d v="2019-12-03T00:00:00.000"/>
    <s v="Equity"/>
    <m/>
    <s v="BFWZ2G7"/>
    <s v="GB00BFWZ2G72"/>
    <s v="CDM"/>
    <s v="N"/>
    <s v="N"/>
    <s v="N"/>
    <m/>
    <m/>
    <m/>
    <s v="B"/>
    <n v="490103"/>
    <n v="490103"/>
    <s v="2.346"/>
    <s v="1149781.64"/>
    <s v="1152082.2"/>
    <s v="2299.56"/>
    <s v="0"/>
    <s v="1"/>
    <s v="GBP"/>
    <s v="GBP"/>
    <n v="1152082.2"/>
  </r>
  <r>
    <x v="2"/>
    <d v="2019-11-29T00:00:00.000"/>
    <s v="3000292"/>
    <s v="5166"/>
    <s v="Confirmed"/>
    <s v="N"/>
    <x v="7"/>
    <d v="2019-11-29T00:00:00.000"/>
    <d v="1899-12-30T10:11:09.000"/>
    <d v="2019-12-03T00:00:00.000"/>
    <s v="Equity"/>
    <m/>
    <s v="BFWZ2G7"/>
    <s v="GB00BFWZ2G72"/>
    <s v="CDM"/>
    <s v="N"/>
    <s v="N"/>
    <s v="N"/>
    <m/>
    <m/>
    <m/>
    <s v="B"/>
    <n v="9897"/>
    <n v="9897"/>
    <s v="2.346"/>
    <s v="23218.36"/>
    <s v="23265.8"/>
    <s v="46.44"/>
    <s v="0"/>
    <s v="1"/>
    <s v="GBP"/>
    <s v="GBP"/>
    <n v="23265.8"/>
  </r>
  <r>
    <x v="1"/>
    <d v="2019-11-29T00:00:00.000"/>
    <s v="3000290"/>
    <s v="5165"/>
    <s v="Confirmed"/>
    <s v="N"/>
    <x v="17"/>
    <d v="2019-11-29T00:00:00.000"/>
    <d v="1899-12-30T10:11:09.000"/>
    <d v="2019-12-03T00:00:00.000"/>
    <s v="Equity"/>
    <m/>
    <s v="BFWZ2G7"/>
    <s v="GB00BFWZ2G72"/>
    <s v="CDM"/>
    <s v="N"/>
    <s v="Y"/>
    <s v="N"/>
    <m/>
    <m/>
    <m/>
    <s v="B"/>
    <n v="245052"/>
    <n v="245052"/>
    <s v="2.1"/>
    <s v="514609.2"/>
    <s v="514609.2"/>
    <s v="0"/>
    <s v="0"/>
    <s v="0"/>
    <s v="GBP"/>
    <s v="GBP"/>
    <n v="514609.2"/>
  </r>
  <r>
    <x v="2"/>
    <d v="2019-11-29T00:00:00.000"/>
    <s v="3000292"/>
    <s v="5166"/>
    <s v="Confirmed"/>
    <s v="N"/>
    <x v="17"/>
    <d v="2019-11-29T00:00:00.000"/>
    <d v="1899-12-30T10:11:09.000"/>
    <d v="2019-12-03T00:00:00.000"/>
    <s v="Equity"/>
    <m/>
    <s v="BFWZ2G7"/>
    <s v="GB00BFWZ2G72"/>
    <s v="CDM"/>
    <s v="N"/>
    <s v="Y"/>
    <s v="N"/>
    <m/>
    <m/>
    <m/>
    <s v="B"/>
    <n v="4949"/>
    <n v="4949"/>
    <s v="2.1"/>
    <s v="10392.9"/>
    <s v="10392.9"/>
    <s v="0"/>
    <s v="0"/>
    <s v="0"/>
    <s v="GBP"/>
    <s v="GBP"/>
    <n v="10392.9"/>
  </r>
  <r>
    <x v="0"/>
    <d v="2019-11-29T00:00:00.000"/>
    <s v="3000291"/>
    <s v="0029"/>
    <s v="Confirmed"/>
    <s v="N"/>
    <x v="17"/>
    <d v="2019-11-27T00:00:00.000"/>
    <d v="1899-12-30T12:19:12.000"/>
    <d v="2019-11-29T00:00:00.000"/>
    <s v="Equity"/>
    <m/>
    <s v="BKDM7X4"/>
    <s v="GB00BKDM7X41"/>
    <s v="SIG"/>
    <s v="N"/>
    <s v="N"/>
    <s v="N"/>
    <m/>
    <m/>
    <m/>
    <s v="S"/>
    <n v="163288"/>
    <n v="163288"/>
    <s v="3.238091"/>
    <s v="528741.4032"/>
    <s v="527682.9232"/>
    <s v="1057.48"/>
    <s v="0"/>
    <s v="1"/>
    <s v="GBP"/>
    <s v="GBP"/>
    <n v="527682.9232"/>
  </r>
  <r>
    <x v="1"/>
    <d v="2019-12-02T00:00:00.000"/>
    <s v="3000290"/>
    <s v="5172"/>
    <s v="Confirmed"/>
    <s v="N"/>
    <x v="7"/>
    <d v="2019-11-29T00:00:00.000"/>
    <d v="1899-12-30T12:51:00.000"/>
    <d v="2019-12-03T00:00:00.000"/>
    <s v="Equity"/>
    <m/>
    <s v="BFWZ2G7"/>
    <s v="GB00BFWZ2G72"/>
    <s v="CDM"/>
    <s v="N"/>
    <s v="N"/>
    <s v="N/A"/>
    <m/>
    <m/>
    <m/>
    <s v="B"/>
    <n v="913435"/>
    <n v="913435"/>
    <s v="2.338947"/>
    <s v="2136476.05"/>
    <s v="2140750.01"/>
    <s v="4272.96"/>
    <s v="0"/>
    <s v="1"/>
    <s v="GBP"/>
    <s v="GBP"/>
    <n v="2140750.01"/>
  </r>
  <r>
    <x v="1"/>
    <d v="2019-12-02T00:00:00.000"/>
    <s v="3000290"/>
    <s v="0031"/>
    <s v="Confirmed"/>
    <s v="N"/>
    <x v="1"/>
    <d v="2019-11-29T00:00:00.000"/>
    <d v="1899-12-30T16:35:00.000"/>
    <d v="2019-12-03T00:00:00.000"/>
    <s v="Equity"/>
    <m/>
    <s v="BJQTGV6"/>
    <s v="GB00BJQTGV64"/>
    <s v="DXRX"/>
    <s v="N"/>
    <s v="N"/>
    <s v="N/A"/>
    <m/>
    <m/>
    <m/>
    <s v="B"/>
    <n v="100000"/>
    <n v="100000"/>
    <s v="0.92"/>
    <s v="92000"/>
    <s v="92185"/>
    <s v="184"/>
    <s v="0"/>
    <s v="1"/>
    <s v="GBP"/>
    <s v="GBP"/>
    <n v="92185"/>
  </r>
  <r>
    <x v="0"/>
    <d v="2019-12-02T00:00:00.000"/>
    <s v="3000291"/>
    <s v="0035"/>
    <s v="Confirmed"/>
    <s v="N"/>
    <x v="3"/>
    <d v="2019-11-29T00:00:00.000"/>
    <d v="1899-12-30T14:03:06.000"/>
    <d v="2019-12-03T00:00:00.000"/>
    <s v="Equity"/>
    <m/>
    <s v="BYYJL41"/>
    <s v="GB00BYYJL418"/>
    <s v="NXR"/>
    <s v="N"/>
    <s v="N"/>
    <s v="N/A"/>
    <m/>
    <m/>
    <m/>
    <s v="B"/>
    <n v="34371"/>
    <n v="34371"/>
    <s v="2.551"/>
    <s v="87680.421"/>
    <s v="88296.06184"/>
    <s v="175.360842"/>
    <s v="0"/>
    <s v="440.28"/>
    <s v="GBP"/>
    <s v="GBP"/>
    <n v="88296.06184"/>
  </r>
  <r>
    <x v="0"/>
    <d v="2019-12-02T00:00:00.000"/>
    <s v="3000291"/>
    <s v="0036"/>
    <s v="Confirmed"/>
    <s v="N"/>
    <x v="3"/>
    <d v="2019-11-29T00:00:00.000"/>
    <d v="1899-12-30T14:02:34.000"/>
    <d v="2019-12-03T00:00:00.000"/>
    <s v="Equity"/>
    <m/>
    <s v="BYYJL41"/>
    <s v="GB00BYYJL418"/>
    <s v="NXR"/>
    <s v="N"/>
    <s v="N"/>
    <s v="N/A"/>
    <m/>
    <m/>
    <m/>
    <s v="B"/>
    <n v="2505"/>
    <n v="2505"/>
    <s v="2.52"/>
    <s v="6312.6"/>
    <s v="6356.8452"/>
    <s v="12.6152"/>
    <s v="0"/>
    <s v="31.63"/>
    <s v="GBP"/>
    <s v="GBP"/>
    <n v="6356.8452"/>
  </r>
  <r>
    <x v="2"/>
    <d v="2019-12-02T00:00:00.000"/>
    <s v="3000292"/>
    <s v="5173"/>
    <s v="Confirmed"/>
    <s v="N"/>
    <x v="7"/>
    <d v="2019-11-29T00:00:00.000"/>
    <d v="1899-12-30T12:51:00.000"/>
    <d v="2019-12-03T00:00:00.000"/>
    <s v="Equity"/>
    <m/>
    <s v="BFWZ2G7"/>
    <s v="GB00BFWZ2G72"/>
    <s v="CDM"/>
    <s v="N"/>
    <s v="N"/>
    <s v="N/A"/>
    <m/>
    <m/>
    <m/>
    <s v="B"/>
    <n v="18445"/>
    <n v="18445"/>
    <s v="2.338947"/>
    <s v="43141.88"/>
    <s v="43229.16"/>
    <s v="86.28"/>
    <s v="0"/>
    <s v="1"/>
    <s v="GBP"/>
    <s v="GBP"/>
    <n v="43229.16"/>
  </r>
  <r>
    <x v="2"/>
    <d v="2019-12-02T00:00:00.000"/>
    <s v="3000292"/>
    <s v="0033"/>
    <s v="Confirmed"/>
    <s v="N"/>
    <x v="3"/>
    <d v="2019-11-29T00:00:00.000"/>
    <d v="1899-12-30T14:03:06.000"/>
    <d v="2019-12-03T00:00:00.000"/>
    <s v="Equity"/>
    <m/>
    <s v="BYYJL41"/>
    <s v="GB00BYYJL418"/>
    <s v="NXR"/>
    <s v="N"/>
    <s v="N"/>
    <s v="N/A"/>
    <m/>
    <m/>
    <m/>
    <s v="B"/>
    <n v="2505"/>
    <n v="2505"/>
    <s v="2.551"/>
    <s v="6390.255"/>
    <s v="6435.05551"/>
    <s v="12.78051"/>
    <s v="0"/>
    <s v="32.02"/>
    <s v="GBP"/>
    <s v="GBP"/>
    <n v="6435.05551"/>
  </r>
  <r>
    <x v="2"/>
    <d v="2019-12-02T00:00:00.000"/>
    <s v="3000292"/>
    <s v="0034"/>
    <s v="Confirmed"/>
    <s v="N"/>
    <x v="3"/>
    <d v="2019-11-29T00:00:00.000"/>
    <d v="1899-12-30T14:02:34.000"/>
    <d v="2019-12-03T00:00:00.000"/>
    <s v="Equity"/>
    <m/>
    <s v="BYYJL41"/>
    <s v="GB00BYYJL418"/>
    <s v="NXR"/>
    <s v="N"/>
    <s v="N"/>
    <s v="N/A"/>
    <m/>
    <m/>
    <m/>
    <s v="B"/>
    <n v="182"/>
    <n v="182"/>
    <s v="2.52"/>
    <s v="458.64"/>
    <s v="461.85728"/>
    <s v="0.91728"/>
    <s v="0"/>
    <s v="2.3"/>
    <s v="GBP"/>
    <s v="GBP"/>
    <n v="461.85728"/>
  </r>
  <r>
    <x v="1"/>
    <d v="2019-12-02T00:00:00.000"/>
    <s v="3000290"/>
    <s v="5172"/>
    <s v="Confirmed"/>
    <s v="N"/>
    <x v="7"/>
    <d v="2019-11-29T00:00:00.000"/>
    <d v="1899-12-30T12:51:00.000"/>
    <d v="2019-12-03T00:00:00.000"/>
    <s v="Equity"/>
    <m/>
    <s v="BFWZ2G7"/>
    <s v="GB00BFWZ2G72"/>
    <s v="CDM"/>
    <s v="N"/>
    <s v="N"/>
    <s v="N/A"/>
    <m/>
    <m/>
    <m/>
    <s v="B"/>
    <n v="913435"/>
    <n v="913435"/>
    <s v="2.338947"/>
    <s v="2136476.05"/>
    <s v="2140750.01"/>
    <s v="4272.96"/>
    <s v="0"/>
    <s v="1"/>
    <s v="GBP"/>
    <s v="GBP"/>
    <n v="2140750.01"/>
  </r>
  <r>
    <x v="1"/>
    <d v="2019-12-02T00:00:00.000"/>
    <s v="3000290"/>
    <s v="0031"/>
    <s v="Confirmed"/>
    <s v="N"/>
    <x v="1"/>
    <d v="2019-11-29T00:00:00.000"/>
    <d v="1899-12-30T16:35:00.000"/>
    <d v="2019-12-03T00:00:00.000"/>
    <s v="Equity"/>
    <m/>
    <s v="BJQTGV6"/>
    <s v="GB00BJQTGV64"/>
    <s v="DXRX"/>
    <s v="N"/>
    <s v="N"/>
    <s v="N/A"/>
    <m/>
    <m/>
    <m/>
    <s v="B"/>
    <n v="100000"/>
    <n v="100000"/>
    <s v="0.92"/>
    <s v="92000"/>
    <s v="92185"/>
    <s v="184"/>
    <s v="0"/>
    <s v="1"/>
    <s v="GBP"/>
    <s v="GBP"/>
    <n v="92185"/>
  </r>
  <r>
    <x v="0"/>
    <d v="2019-12-02T00:00:00.000"/>
    <s v="3000291"/>
    <s v="0035"/>
    <s v="Confirmed"/>
    <s v="N"/>
    <x v="3"/>
    <d v="2019-11-29T00:00:00.000"/>
    <d v="1899-12-30T14:03:06.000"/>
    <d v="2019-12-03T00:00:00.000"/>
    <s v="Equity"/>
    <m/>
    <s v="BYYJL41"/>
    <s v="GB00BYYJL418"/>
    <s v="NXR"/>
    <s v="N"/>
    <s v="N"/>
    <s v="N/A"/>
    <m/>
    <m/>
    <m/>
    <s v="B"/>
    <n v="34371"/>
    <n v="34371"/>
    <s v="2.551"/>
    <s v="87680.421"/>
    <s v="88296.06184"/>
    <s v="175.360842"/>
    <s v="0"/>
    <s v="440.28"/>
    <s v="GBP"/>
    <s v="GBP"/>
    <n v="88296.06184"/>
  </r>
  <r>
    <x v="0"/>
    <d v="2019-12-02T00:00:00.000"/>
    <s v="3000291"/>
    <s v="0036"/>
    <s v="Confirmed"/>
    <s v="N"/>
    <x v="3"/>
    <d v="2019-11-29T00:00:00.000"/>
    <d v="1899-12-30T14:02:34.000"/>
    <d v="2019-12-03T00:00:00.000"/>
    <s v="Equity"/>
    <m/>
    <s v="BYYJL41"/>
    <s v="GB00BYYJL418"/>
    <s v="NXR"/>
    <s v="N"/>
    <s v="N"/>
    <s v="N/A"/>
    <m/>
    <m/>
    <m/>
    <s v="B"/>
    <n v="2505"/>
    <n v="2505"/>
    <s v="2.52"/>
    <s v="6312.6"/>
    <s v="6356.8452"/>
    <s v="12.6152"/>
    <s v="0"/>
    <s v="31.63"/>
    <s v="GBP"/>
    <s v="GBP"/>
    <n v="6356.8452"/>
  </r>
  <r>
    <x v="2"/>
    <d v="2019-12-02T00:00:00.000"/>
    <s v="3000292"/>
    <s v="5173"/>
    <s v="Confirmed"/>
    <s v="N"/>
    <x v="7"/>
    <d v="2019-11-29T00:00:00.000"/>
    <d v="1899-12-30T12:51:00.000"/>
    <d v="2019-12-03T00:00:00.000"/>
    <s v="Equity"/>
    <m/>
    <s v="BFWZ2G7"/>
    <s v="GB00BFWZ2G72"/>
    <s v="CDM"/>
    <s v="N"/>
    <s v="N"/>
    <s v="N/A"/>
    <m/>
    <m/>
    <m/>
    <s v="B"/>
    <n v="18445"/>
    <n v="18445"/>
    <s v="2.338947"/>
    <s v="43141.88"/>
    <s v="43229.16"/>
    <s v="86.28"/>
    <s v="0"/>
    <s v="1"/>
    <s v="GBP"/>
    <s v="GBP"/>
    <n v="43229.16"/>
  </r>
  <r>
    <x v="2"/>
    <d v="2019-12-02T00:00:00.000"/>
    <s v="3000292"/>
    <s v="0033"/>
    <s v="Confirmed"/>
    <s v="N"/>
    <x v="3"/>
    <d v="2019-11-29T00:00:00.000"/>
    <d v="1899-12-30T14:03:06.000"/>
    <d v="2019-12-03T00:00:00.000"/>
    <s v="Equity"/>
    <m/>
    <s v="BYYJL41"/>
    <s v="GB00BYYJL418"/>
    <s v="NXR"/>
    <s v="N"/>
    <s v="N"/>
    <s v="N/A"/>
    <m/>
    <m/>
    <m/>
    <s v="B"/>
    <n v="2505"/>
    <n v="2505"/>
    <s v="2.551"/>
    <s v="6390.255"/>
    <s v="6435.05551"/>
    <s v="12.78051"/>
    <s v="0"/>
    <s v="32.02"/>
    <s v="GBP"/>
    <s v="GBP"/>
    <n v="6435.05551"/>
  </r>
  <r>
    <x v="2"/>
    <d v="2019-12-02T00:00:00.000"/>
    <s v="3000292"/>
    <s v="0034"/>
    <s v="Confirmed"/>
    <s v="N"/>
    <x v="3"/>
    <d v="2019-11-29T00:00:00.000"/>
    <d v="1899-12-30T14:02:34.000"/>
    <d v="2019-12-03T00:00:00.000"/>
    <s v="Equity"/>
    <m/>
    <s v="BYYJL41"/>
    <s v="GB00BYYJL418"/>
    <s v="NXR"/>
    <s v="N"/>
    <s v="N"/>
    <s v="N/A"/>
    <m/>
    <m/>
    <m/>
    <s v="B"/>
    <n v="182"/>
    <n v="182"/>
    <s v="2.52"/>
    <s v="458.64"/>
    <s v="461.85728"/>
    <s v="0.91728"/>
    <s v="0"/>
    <s v="2.3"/>
    <s v="GBP"/>
    <s v="GBP"/>
    <n v="461.85728"/>
  </r>
  <r>
    <x v="1"/>
    <d v="2019-12-03T00:00:00.000"/>
    <s v="3000290"/>
    <s v="0035"/>
    <s v="Confirmed"/>
    <s v="N"/>
    <x v="17"/>
    <d v="2019-11-29T00:00:00.000"/>
    <d v="1899-12-30T10:11:09.000"/>
    <d v="2019-12-03T00:00:00.000"/>
    <s v="Equity"/>
    <m/>
    <s v="BFWZ2G7"/>
    <s v="GB00BFWZ2G72"/>
    <s v="CDM"/>
    <s v="N"/>
    <s v="Y"/>
    <s v="N"/>
    <m/>
    <m/>
    <m/>
    <s v="B"/>
    <n v="245052"/>
    <n v="245052"/>
    <s v="2.1"/>
    <s v="514609.2"/>
    <s v="514609.2"/>
    <s v="0"/>
    <s v="0"/>
    <s v="0"/>
    <s v="GBP"/>
    <s v="GBP"/>
    <n v="514609.2"/>
  </r>
  <r>
    <x v="2"/>
    <d v="2019-12-03T00:00:00.000"/>
    <s v="3000292"/>
    <s v="0036"/>
    <s v="Confirmed"/>
    <s v="N"/>
    <x v="17"/>
    <d v="2019-11-29T00:00:00.000"/>
    <d v="1899-12-30T10:11:09.000"/>
    <d v="2019-12-03T00:00:00.000"/>
    <s v="Equity"/>
    <m/>
    <s v="BFWZ2G7"/>
    <s v="GB00BFWZ2G72"/>
    <s v="CDM"/>
    <s v="N"/>
    <s v="Y"/>
    <s v="N"/>
    <m/>
    <m/>
    <m/>
    <s v="B"/>
    <n v="4949"/>
    <n v="4949"/>
    <s v="2.1"/>
    <s v="10392.9"/>
    <s v="10392.9"/>
    <s v="0"/>
    <s v="0"/>
    <s v="0"/>
    <s v="GBP"/>
    <s v="GBP"/>
    <n v="10392.9"/>
  </r>
  <r>
    <x v="1"/>
    <d v="2019-12-05T00:00:00.000"/>
    <s v="3000290"/>
    <s v="5298"/>
    <s v="Confirmed"/>
    <s v="N"/>
    <x v="1"/>
    <d v="2019-12-04T00:00:00.000"/>
    <d v="1899-12-30T15:39:18.000"/>
    <d v="2019-12-06T00:00:00.000"/>
    <s v="Equity"/>
    <m/>
    <s v="BK63S75"/>
    <s v="GB00BK63S759"/>
    <s v="BRCK"/>
    <s v="N"/>
    <s v="N"/>
    <s v="N/A"/>
    <m/>
    <m/>
    <m/>
    <s v="S"/>
    <n v="489724"/>
    <n v="489724"/>
    <s v="0.65"/>
    <s v="318320.6"/>
    <s v="317682.96"/>
    <s v="636.64"/>
    <s v="0"/>
    <s v="1"/>
    <s v="GBP"/>
    <s v="GBP"/>
    <n v="317682.96"/>
  </r>
  <r>
    <x v="0"/>
    <d v="2019-12-05T00:00:00.000"/>
    <s v="3000291"/>
    <s v="0037"/>
    <s v="Confirmed"/>
    <s v="N"/>
    <x v="12"/>
    <d v="2019-12-04T00:00:00.000"/>
    <d v="1899-12-30T16:13:39.000"/>
    <d v="2019-12-06T00:00:00.000"/>
    <s v="Equity"/>
    <m/>
    <s v="BKDM7X4"/>
    <s v="GB00BKDM7X41"/>
    <s v="SIG"/>
    <s v="N"/>
    <s v="N"/>
    <s v="N/A"/>
    <m/>
    <m/>
    <m/>
    <s v="B"/>
    <n v="135000"/>
    <n v="135000"/>
    <s v="4.020428"/>
    <s v="542757.78"/>
    <s v="546563.5156"/>
    <s v="1085.51556"/>
    <s v="0"/>
    <s v="2720.22"/>
    <s v="GBP"/>
    <s v="GBP"/>
    <n v="546563.5156"/>
  </r>
  <r>
    <x v="2"/>
    <d v="2019-12-05T00:00:00.000"/>
    <s v="3000292"/>
    <s v="5299"/>
    <s v="Confirmed"/>
    <s v="N"/>
    <x v="1"/>
    <d v="2019-12-04T00:00:00.000"/>
    <d v="1899-12-30T15:39:18.000"/>
    <d v="2019-12-06T00:00:00.000"/>
    <s v="Equity"/>
    <m/>
    <s v="BK63S75"/>
    <s v="GB00BK63S759"/>
    <s v="BRCK"/>
    <s v="N"/>
    <s v="N"/>
    <s v="N/A"/>
    <m/>
    <m/>
    <m/>
    <s v="S"/>
    <n v="10276"/>
    <n v="10276"/>
    <s v="0.65"/>
    <s v="6679.4"/>
    <s v="6666.04"/>
    <s v="13.36"/>
    <s v="0"/>
    <s v="0"/>
    <s v="GBP"/>
    <s v="GBP"/>
    <n v="6666.04"/>
  </r>
  <r>
    <x v="1"/>
    <d v="2019-12-09T00:00:00.000"/>
    <s v="3000290"/>
    <s v="0038"/>
    <s v="Confirmed"/>
    <s v="N"/>
    <x v="3"/>
    <d v="2019-12-06T00:00:00.000"/>
    <d v="1899-12-30T15:57:23.000"/>
    <d v="2019-12-10T00:00:00.000"/>
    <s v="Equity"/>
    <m/>
    <s v="BF4X3P5"/>
    <s v="JE00BF4X3P53"/>
    <s v="JTC"/>
    <s v="N"/>
    <s v="N"/>
    <s v="N/A"/>
    <m/>
    <m/>
    <m/>
    <s v="B"/>
    <n v="10233"/>
    <n v="10233"/>
    <s v="3.6"/>
    <s v="36838.8"/>
    <s v="36913.4776"/>
    <s v="73.6776"/>
    <s v="0"/>
    <s v="1"/>
    <s v="GBP"/>
    <s v="GBP"/>
    <n v="36913.4776"/>
  </r>
  <r>
    <x v="0"/>
    <d v="2019-12-12T00:00:00.000"/>
    <s v="3000291"/>
    <s v="5398"/>
    <s v="Confirmed"/>
    <s v="N"/>
    <x v="12"/>
    <d v="2019-12-11T00:00:00.000"/>
    <d v="1899-12-30T16:22:28.000"/>
    <d v="2019-12-13T00:00:00.000"/>
    <s v="Equity"/>
    <m/>
    <s v="BKDM7X4"/>
    <s v="GB00BKDM7X41"/>
    <s v="SIG"/>
    <s v="N"/>
    <s v="N"/>
    <s v="N/A"/>
    <m/>
    <m/>
    <m/>
    <s v="S"/>
    <n v="135000"/>
    <n v="135000"/>
    <s v="3.2228885"/>
    <s v="435089.9375"/>
    <s v="434218.7576"/>
    <s v="870.179875"/>
    <s v="0"/>
    <s v="1"/>
    <s v="GBP"/>
    <s v="GBP"/>
    <n v="434218.7576"/>
  </r>
  <r>
    <x v="1"/>
    <d v="2019-12-13T00:00:00.000"/>
    <s v="3000290"/>
    <s v="5489"/>
    <s v="Confirmed"/>
    <s v="N"/>
    <x v="12"/>
    <d v="2019-12-12T00:00:00.000"/>
    <d v="1899-12-30T15:38:51.000"/>
    <d v="2019-12-16T00:00:00.000"/>
    <s v="Equity"/>
    <m/>
    <s v="BK63S75"/>
    <s v="GB00BK63S759"/>
    <s v="BRCK"/>
    <s v="N"/>
    <s v="N"/>
    <s v="N"/>
    <m/>
    <m/>
    <m/>
    <s v="S"/>
    <n v="24486"/>
    <n v="24486"/>
    <s v="0.65"/>
    <s v="15915.9"/>
    <s v="15883.07"/>
    <s v="31.83"/>
    <s v="0"/>
    <s v="1"/>
    <s v="GBP"/>
    <s v="GBP"/>
    <n v="15883.07"/>
  </r>
  <r>
    <x v="1"/>
    <d v="2019-12-13T00:00:00.000"/>
    <s v="3000290"/>
    <s v="5469"/>
    <s v="Confirmed"/>
    <s v="N"/>
    <x v="12"/>
    <d v="2019-12-13T00:00:00.000"/>
    <d v="1899-12-30T08:17:30.000"/>
    <d v="2019-12-17T00:00:00.000"/>
    <s v="Equity"/>
    <m/>
    <s v="BK63S75"/>
    <s v="GB00BK63S759"/>
    <s v="BRCK"/>
    <s v="N"/>
    <s v="N"/>
    <s v="N"/>
    <m/>
    <m/>
    <m/>
    <s v="S"/>
    <n v="73459"/>
    <n v="73459"/>
    <s v="0.65"/>
    <s v="47748.35"/>
    <s v="47651.85"/>
    <s v="95.5"/>
    <s v="0"/>
    <s v="1"/>
    <s v="GBP"/>
    <s v="GBP"/>
    <n v="47651.85"/>
  </r>
  <r>
    <x v="2"/>
    <d v="2019-12-13T00:00:00.000"/>
    <s v="3000292"/>
    <s v="5490"/>
    <s v="Confirmed"/>
    <s v="N"/>
    <x v="12"/>
    <d v="2019-12-12T00:00:00.000"/>
    <d v="1899-12-30T15:38:51.000"/>
    <d v="2019-12-16T00:00:00.000"/>
    <s v="Equity"/>
    <m/>
    <s v="BK63S75"/>
    <s v="GB00BK63S759"/>
    <s v="BRCK"/>
    <s v="N"/>
    <s v="N"/>
    <s v="N"/>
    <m/>
    <m/>
    <m/>
    <s v="S"/>
    <n v="514"/>
    <n v="514"/>
    <s v="0.65"/>
    <s v="334.1"/>
    <s v="333.43"/>
    <s v="0.67"/>
    <s v="0"/>
    <s v="0"/>
    <s v="GBP"/>
    <s v="GBP"/>
    <n v="333.43"/>
  </r>
  <r>
    <x v="2"/>
    <d v="2019-12-13T00:00:00.000"/>
    <s v="3000292"/>
    <s v="5470"/>
    <s v="Confirmed"/>
    <s v="N"/>
    <x v="12"/>
    <d v="2019-12-13T00:00:00.000"/>
    <d v="1899-12-30T08:17:30.000"/>
    <d v="2019-12-17T00:00:00.000"/>
    <s v="Equity"/>
    <m/>
    <s v="BK63S75"/>
    <s v="GB00BK63S759"/>
    <s v="BRCK"/>
    <s v="N"/>
    <s v="N"/>
    <s v="N"/>
    <m/>
    <m/>
    <m/>
    <s v="S"/>
    <n v="1541"/>
    <n v="1541"/>
    <s v="0.65"/>
    <s v="1001.65"/>
    <s v="999.65"/>
    <s v="2"/>
    <s v="0"/>
    <s v="0"/>
    <s v="GBP"/>
    <s v="GBP"/>
    <n v="999.65"/>
  </r>
  <r>
    <x v="1"/>
    <d v="2019-12-16T00:00:00.000"/>
    <s v="3000290"/>
    <s v="5515"/>
    <s v="Confirmed"/>
    <s v="N"/>
    <x v="12"/>
    <d v="2019-12-13T00:00:00.000"/>
    <d v="1899-12-30T16:48:28.000"/>
    <d v="2019-12-17T00:00:00.000"/>
    <s v="Equity"/>
    <m/>
    <s v="BK63S75"/>
    <s v="GB00BK63S759"/>
    <s v="BRCK"/>
    <s v="N"/>
    <s v="N"/>
    <s v="N/A"/>
    <m/>
    <m/>
    <m/>
    <s v="S"/>
    <n v="244863"/>
    <n v="244863"/>
    <s v="0.6615"/>
    <s v="161976.87"/>
    <s v="161651.92"/>
    <s v="323.95"/>
    <s v="0"/>
    <s v="1"/>
    <s v="GBP"/>
    <s v="GBP"/>
    <n v="161651.92"/>
  </r>
  <r>
    <x v="1"/>
    <d v="2019-12-16T00:00:00.000"/>
    <s v="3000290"/>
    <s v="5498"/>
    <s v="Confirmed"/>
    <s v="N"/>
    <x v="5"/>
    <d v="2019-12-13T00:00:00.000"/>
    <d v="1899-12-30T12:21:32.000"/>
    <d v="2019-12-17T00:00:00.000"/>
    <s v="Equity"/>
    <m/>
    <s v="0006053"/>
    <s v="GB0000060532"/>
    <s v="NET"/>
    <s v="N"/>
    <s v="N"/>
    <s v="N/A"/>
    <m/>
    <m/>
    <m/>
    <s v="B"/>
    <n v="50000"/>
    <n v="50000"/>
    <s v="0.2975"/>
    <s v="14875"/>
    <s v="14905.75"/>
    <s v="29.75"/>
    <s v="0"/>
    <s v="1"/>
    <s v="GBP"/>
    <s v="GBP"/>
    <n v="14905.75"/>
  </r>
  <r>
    <x v="2"/>
    <d v="2019-12-16T00:00:00.000"/>
    <s v="3000292"/>
    <s v="5516"/>
    <s v="Confirmed"/>
    <s v="N"/>
    <x v="12"/>
    <d v="2019-12-13T00:00:00.000"/>
    <d v="1899-12-30T16:48:28.000"/>
    <d v="2019-12-17T00:00:00.000"/>
    <s v="Equity"/>
    <m/>
    <s v="BK63S75"/>
    <s v="GB00BK63S759"/>
    <s v="BRCK"/>
    <s v="N"/>
    <s v="N"/>
    <s v="N/A"/>
    <m/>
    <m/>
    <m/>
    <s v="S"/>
    <n v="5137"/>
    <n v="5137"/>
    <s v="0.6615"/>
    <s v="3398.13"/>
    <s v="3391.33"/>
    <s v="6.8"/>
    <s v="0"/>
    <s v="0"/>
    <s v="GBP"/>
    <s v="GBP"/>
    <n v="3391.33"/>
  </r>
  <r>
    <x v="1"/>
    <d v="2019-12-17T00:00:00.000"/>
    <s v="3000290"/>
    <s v="5530"/>
    <s v="Confirmed"/>
    <s v="N"/>
    <x v="8"/>
    <d v="2019-12-16T00:00:00.000"/>
    <d v="1899-12-30T12:30:00.000"/>
    <d v="2019-12-18T00:00:00.000"/>
    <s v="Equity"/>
    <m/>
    <s v="BYT1818"/>
    <s v="GB00BYT18182"/>
    <s v="SYS"/>
    <s v="N"/>
    <s v="N"/>
    <s v="N/A"/>
    <m/>
    <m/>
    <m/>
    <s v="B"/>
    <n v="2200000"/>
    <n v="2200000"/>
    <s v="0.31"/>
    <s v="682000"/>
    <s v="683365"/>
    <s v="1364"/>
    <s v="0"/>
    <s v="1"/>
    <s v="GBP"/>
    <s v="GBP"/>
    <n v="683365"/>
  </r>
  <r>
    <x v="1"/>
    <d v="2019-12-18T00:00:00.000"/>
    <s v="3000290"/>
    <s v="5580"/>
    <s v="Confirmed"/>
    <s v="N"/>
    <x v="12"/>
    <d v="2019-12-18T00:00:00.000"/>
    <d v="1899-12-30T07:35:56.000"/>
    <d v="2019-12-20T00:00:00.000"/>
    <s v="Equity"/>
    <m/>
    <s v="BFZZM64"/>
    <s v="GB00BFZZM640"/>
    <s v="SFOR"/>
    <s v="N"/>
    <s v="N"/>
    <s v="N/A"/>
    <m/>
    <m/>
    <m/>
    <s v="B"/>
    <n v="250000"/>
    <n v="250000"/>
    <s v="1.8"/>
    <s v="450000"/>
    <s v="453155.5"/>
    <s v="900"/>
    <s v="0"/>
    <s v="2255.5"/>
    <s v="GBP"/>
    <s v="GBP"/>
    <n v="453155.5"/>
  </r>
  <r>
    <x v="1"/>
    <d v="2019-12-19T00:00:00.000"/>
    <s v="3000290"/>
    <s v="5625"/>
    <s v="Confirmed"/>
    <s v="N"/>
    <x v="12"/>
    <d v="2019-12-18T00:00:00.000"/>
    <d v="1899-12-30T11:39:17.000"/>
    <d v="2019-12-20T00:00:00.000"/>
    <s v="Equity"/>
    <m/>
    <s v="BZBX0P7"/>
    <s v="GB00BZBX0P70"/>
    <s v="GYM"/>
    <s v="N"/>
    <s v="N"/>
    <s v="N/A"/>
    <m/>
    <m/>
    <m/>
    <s v="B"/>
    <n v="25000"/>
    <n v="25000"/>
    <s v="2.78"/>
    <s v="69500"/>
    <s v="69988.2"/>
    <s v="139"/>
    <s v="0"/>
    <s v="349.2"/>
    <s v="GBP"/>
    <s v="GBP"/>
    <n v="69988.2"/>
  </r>
  <r>
    <x v="1"/>
    <d v="2019-12-19T00:00:00.000"/>
    <s v="3000290"/>
    <s v="5629"/>
    <s v="Confirmed"/>
    <s v="N"/>
    <x v="12"/>
    <d v="2019-12-18T00:00:00.000"/>
    <d v="1899-12-30T11:01:00.000"/>
    <d v="2019-12-20T00:00:00.000"/>
    <s v="Equity"/>
    <m/>
    <s v="BQ8NYV1"/>
    <s v="IM00BQ8NYV14"/>
    <s v="KAPE"/>
    <s v="N"/>
    <s v="N"/>
    <s v="N/A"/>
    <m/>
    <m/>
    <m/>
    <s v="B"/>
    <n v="100000"/>
    <n v="100000"/>
    <s v="1.6"/>
    <s v="160000"/>
    <s v="160321"/>
    <s v="320"/>
    <s v="0"/>
    <s v="1"/>
    <s v="GBP"/>
    <s v="GBP"/>
    <n v="160321"/>
  </r>
  <r>
    <x v="1"/>
    <d v="2019-12-19T00:00:00.000"/>
    <s v="3000290"/>
    <s v="5627"/>
    <s v="Confirmed"/>
    <s v="N"/>
    <x v="3"/>
    <d v="2019-12-18T00:00:00.000"/>
    <d v="1899-12-30T12:24:59.000"/>
    <d v="2019-12-20T00:00:00.000"/>
    <s v="Equity"/>
    <m/>
    <s v="BZBX0P7"/>
    <s v="GB00BZBX0P70"/>
    <s v="GYM"/>
    <s v="N"/>
    <s v="N"/>
    <s v="N/A"/>
    <m/>
    <m/>
    <m/>
    <s v="B"/>
    <n v="200000"/>
    <n v="200000"/>
    <s v="2.9"/>
    <s v="580000"/>
    <s v="584066.8"/>
    <s v="1160"/>
    <s v="0"/>
    <s v="2906.8"/>
    <s v="GBP"/>
    <s v="GBP"/>
    <n v="584066.8"/>
  </r>
  <r>
    <x v="1"/>
    <d v="2019-12-20T00:00:00.000"/>
    <s v="3000290"/>
    <s v="5697"/>
    <s v="Confirmed"/>
    <s v="N"/>
    <x v="15"/>
    <d v="2019-12-19T00:00:00.000"/>
    <d v="1899-12-30T17:37:56.000"/>
    <d v="2019-12-23T00:00:00.000"/>
    <s v="Equity"/>
    <m/>
    <s v="BF16C05"/>
    <s v="GB00BF16C058"/>
    <s v="AFM"/>
    <s v="N"/>
    <s v="N"/>
    <s v="N/A"/>
    <m/>
    <m/>
    <m/>
    <s v="B"/>
    <n v="80000"/>
    <n v="80000"/>
    <s v="2.37"/>
    <s v="189600"/>
    <s v="189980.2"/>
    <s v="379.2"/>
    <s v="0"/>
    <s v="1"/>
    <s v="GBP"/>
    <s v="GBP"/>
    <n v="189980.2"/>
  </r>
  <r>
    <x v="1"/>
    <d v="2019-12-20T00:00:00.000"/>
    <s v="3000290"/>
    <s v="5694"/>
    <s v="Confirmed"/>
    <s v="N"/>
    <x v="8"/>
    <d v="2019-12-19T00:00:00.000"/>
    <d v="1899-12-30T16:20:00.000"/>
    <d v="2019-12-23T00:00:00.000"/>
    <s v="Equity"/>
    <m/>
    <s v="BQ8NYV1"/>
    <s v="IM00BQ8NYV14"/>
    <s v="KAPE"/>
    <s v="N"/>
    <s v="N"/>
    <s v="N/A"/>
    <m/>
    <m/>
    <m/>
    <s v="B"/>
    <n v="500000"/>
    <n v="500000"/>
    <s v="1.6"/>
    <s v="800000"/>
    <s v="801601"/>
    <s v="1600"/>
    <s v="0"/>
    <s v="1"/>
    <s v="GBP"/>
    <s v="GBP"/>
    <n v="801601"/>
  </r>
  <r>
    <x v="1"/>
    <d v="2019-12-20T00:00:00.000"/>
    <s v="3000290"/>
    <s v="5699"/>
    <s v="Confirmed"/>
    <s v="N"/>
    <x v="7"/>
    <d v="2019-12-19T00:00:00.000"/>
    <d v="1899-12-30T15:45:00.000"/>
    <d v="2019-12-23T00:00:00.000"/>
    <s v="Equity"/>
    <m/>
    <s v="BF020D3"/>
    <s v="GB00BF020D33"/>
    <s v="TEG"/>
    <s v="N"/>
    <s v="N"/>
    <s v="N/A"/>
    <m/>
    <m/>
    <m/>
    <s v="B"/>
    <n v="492025"/>
    <n v="492025"/>
    <s v="2.9"/>
    <s v="1426872.5"/>
    <s v="1436875.88"/>
    <s v="2853.75"/>
    <s v="0"/>
    <s v="7149.63"/>
    <s v="GBP"/>
    <s v="GBP"/>
    <n v="1436875.88"/>
  </r>
  <r>
    <x v="1"/>
    <d v="2019-12-20T00:00:00.000"/>
    <s v="3000290"/>
    <s v="5668"/>
    <s v="Confirmed"/>
    <s v="N"/>
    <x v="7"/>
    <d v="2019-12-19T00:00:00.000"/>
    <d v="1899-12-30T12:21:00.000"/>
    <d v="2019-12-23T00:00:00.000"/>
    <s v="Equity"/>
    <m/>
    <s v="BFWZ2G7"/>
    <s v="GB00BFWZ2G72"/>
    <s v="CDM"/>
    <s v="N"/>
    <s v="N"/>
    <s v="N/A"/>
    <m/>
    <m/>
    <m/>
    <s v="B"/>
    <n v="563857"/>
    <n v="563857"/>
    <s v="2.81"/>
    <s v="1584438.17"/>
    <s v="1587608.05"/>
    <s v="3168.88"/>
    <s v="0"/>
    <s v="1"/>
    <s v="GBP"/>
    <s v="GBP"/>
    <n v="1587608.05"/>
  </r>
  <r>
    <x v="1"/>
    <d v="2019-12-20T00:00:00.000"/>
    <s v="3000290"/>
    <s v="5673"/>
    <s v="Confirmed"/>
    <s v="N"/>
    <x v="2"/>
    <d v="2019-12-19T00:00:00.000"/>
    <d v="1899-12-30T15:04:00.000"/>
    <d v="2019-12-23T00:00:00.000"/>
    <s v="Equity"/>
    <m/>
    <s v="BYX1P35"/>
    <s v="GB00BYX1P358"/>
    <s v="TAM"/>
    <s v="N"/>
    <s v="N"/>
    <s v="N/A"/>
    <m/>
    <m/>
    <m/>
    <s v="B"/>
    <n v="816000"/>
    <n v="816000"/>
    <s v="2.7"/>
    <s v="2203200"/>
    <s v="2207607.4"/>
    <s v="4406.4"/>
    <s v="0"/>
    <s v="1"/>
    <s v="GBP"/>
    <s v="GBP"/>
    <n v="2207607.4"/>
  </r>
  <r>
    <x v="0"/>
    <d v="2019-12-20T00:00:00.000"/>
    <s v="3000291"/>
    <s v="5687"/>
    <s v="Confirmed"/>
    <s v="N"/>
    <x v="1"/>
    <d v="2019-12-19T00:00:00.000"/>
    <d v="1899-12-30T15:34:39.000"/>
    <d v="2019-12-23T00:00:00.000"/>
    <s v="Equity"/>
    <m/>
    <s v="BYZSSY6"/>
    <s v="GG00BYZSSY63"/>
    <s v="DUKE"/>
    <s v="N"/>
    <s v="N"/>
    <s v="N/A"/>
    <m/>
    <m/>
    <m/>
    <s v="B"/>
    <n v="500000"/>
    <n v="500000"/>
    <s v="0.495"/>
    <s v="247500"/>
    <s v="247996"/>
    <s v="495"/>
    <s v="0"/>
    <s v="1"/>
    <s v="GBP"/>
    <s v="GBP"/>
    <n v="247996"/>
  </r>
  <r>
    <x v="0"/>
    <d v="2019-12-20T00:00:00.000"/>
    <s v="3000291"/>
    <s v="5674"/>
    <s v="Confirmed"/>
    <s v="N"/>
    <x v="2"/>
    <d v="2019-12-19T00:00:00.000"/>
    <d v="1899-12-30T15:04:00.000"/>
    <d v="2019-12-23T00:00:00.000"/>
    <s v="Equity"/>
    <m/>
    <s v="BYX1P35"/>
    <s v="GB00BYX1P358"/>
    <s v="TAM"/>
    <s v="N"/>
    <s v="N"/>
    <s v="N/A"/>
    <m/>
    <m/>
    <m/>
    <s v="B"/>
    <n v="180000"/>
    <n v="180000"/>
    <s v="2.7"/>
    <s v="486000"/>
    <s v="486973"/>
    <s v="972"/>
    <s v="0"/>
    <s v="1"/>
    <s v="GBP"/>
    <s v="GBP"/>
    <n v="486973"/>
  </r>
  <r>
    <x v="2"/>
    <d v="2019-12-20T00:00:00.000"/>
    <s v="3000292"/>
    <s v="5700"/>
    <s v="Confirmed"/>
    <s v="N"/>
    <x v="7"/>
    <d v="2019-12-19T00:00:00.000"/>
    <d v="1899-12-30T15:45:00.000"/>
    <d v="2019-12-23T00:00:00.000"/>
    <s v="Equity"/>
    <m/>
    <s v="BF020D3"/>
    <s v="GB00BF020D33"/>
    <s v="TEG"/>
    <s v="N"/>
    <s v="N"/>
    <s v="N/A"/>
    <m/>
    <m/>
    <m/>
    <s v="B"/>
    <n v="7975"/>
    <n v="7975"/>
    <s v="2.9"/>
    <s v="23127.5"/>
    <s v="23290.63"/>
    <s v="46.26"/>
    <s v="0"/>
    <s v="116.87"/>
    <s v="GBP"/>
    <s v="GBP"/>
    <n v="23290.63"/>
  </r>
  <r>
    <x v="2"/>
    <d v="2019-12-20T00:00:00.000"/>
    <s v="3000292"/>
    <s v="5669"/>
    <s v="Confirmed"/>
    <s v="N"/>
    <x v="7"/>
    <d v="2019-12-19T00:00:00.000"/>
    <d v="1899-12-30T12:21:00.000"/>
    <d v="2019-12-23T00:00:00.000"/>
    <s v="Equity"/>
    <m/>
    <s v="BFWZ2G7"/>
    <s v="GB00BFWZ2G72"/>
    <s v="CDM"/>
    <s v="N"/>
    <s v="N"/>
    <s v="N/A"/>
    <m/>
    <m/>
    <m/>
    <s v="B"/>
    <n v="11143"/>
    <n v="11143"/>
    <s v="2.81"/>
    <s v="31311.83"/>
    <s v="31375.45"/>
    <s v="62.62"/>
    <s v="0"/>
    <s v="1"/>
    <s v="GBP"/>
    <s v="GBP"/>
    <n v="31375.45"/>
  </r>
  <r>
    <x v="1"/>
    <d v="2019-12-23T00:00:00.000"/>
    <s v="3000290"/>
    <s v="5747"/>
    <s v="Confirmed"/>
    <s v="N"/>
    <x v="12"/>
    <d v="2019-12-20T00:00:00.000"/>
    <d v="1899-12-30T16:26:02.000"/>
    <d v="2019-12-24T00:00:00.000"/>
    <s v="Equity"/>
    <m/>
    <s v="0918642"/>
    <s v="GB0009186429"/>
    <s v="FIF"/>
    <s v="N"/>
    <s v="N"/>
    <s v="N/A"/>
    <m/>
    <m/>
    <m/>
    <s v="B"/>
    <n v="765000"/>
    <n v="765000"/>
    <s v="0.91"/>
    <s v="696150"/>
    <s v="697543.3"/>
    <s v="1392.3"/>
    <s v="0"/>
    <s v="1"/>
    <s v="GBP"/>
    <s v="GBP"/>
    <n v="697543.3"/>
  </r>
  <r>
    <x v="1"/>
    <d v="2019-12-23T00:00:00.000"/>
    <s v="3000290"/>
    <s v="5744"/>
    <s v="Confirmed"/>
    <s v="N"/>
    <x v="3"/>
    <d v="2019-12-20T00:00:00.000"/>
    <d v="1899-12-30T15:35:54.000"/>
    <d v="2019-12-24T00:00:00.000"/>
    <s v="Equity"/>
    <m/>
    <s v="BF4X3P5"/>
    <s v="JE00BF4X3P53"/>
    <s v="JTC"/>
    <s v="N"/>
    <s v="N"/>
    <s v="N/A"/>
    <m/>
    <m/>
    <m/>
    <s v="B"/>
    <n v="75000"/>
    <n v="75000"/>
    <s v="4"/>
    <s v="300000"/>
    <s v="300601"/>
    <s v="600"/>
    <s v="0"/>
    <s v="1"/>
    <s v="GBP"/>
    <s v="GBP"/>
    <n v="300601"/>
  </r>
  <r>
    <x v="1"/>
    <d v="2019-12-23T00:00:00.000"/>
    <s v="3000290"/>
    <s v="5741"/>
    <s v="Confirmed"/>
    <s v="N"/>
    <x v="7"/>
    <d v="2019-12-20T00:00:00.000"/>
    <d v="1899-12-30T11:30:00.000"/>
    <d v="2019-12-24T00:00:00.000"/>
    <s v="Equity"/>
    <m/>
    <s v="BDDN1T2"/>
    <s v="GB00BDDN1T20"/>
    <s v="XPS"/>
    <s v="N"/>
    <s v="N"/>
    <s v="N/A"/>
    <m/>
    <m/>
    <m/>
    <s v="B"/>
    <n v="263445"/>
    <n v="263445"/>
    <s v="1.32"/>
    <s v="347747.4"/>
    <s v="350186.1"/>
    <s v="695.49"/>
    <s v="0"/>
    <s v="1743.21"/>
    <s v="GBP"/>
    <s v="GBP"/>
    <n v="350186.1"/>
  </r>
  <r>
    <x v="1"/>
    <d v="2019-12-23T00:00:00.000"/>
    <s v="3000290"/>
    <s v="5730"/>
    <s v="Confirmed"/>
    <s v="N"/>
    <x v="8"/>
    <d v="2019-12-20T00:00:00.000"/>
    <d v="1899-12-30T16:01:00.000"/>
    <d v="2019-12-24T00:00:00.000"/>
    <s v="Equity"/>
    <m/>
    <s v="BQ8NYV1"/>
    <s v="IM00BQ8NYV14"/>
    <s v="KAPE"/>
    <s v="N"/>
    <s v="N"/>
    <s v="N/A"/>
    <m/>
    <m/>
    <m/>
    <s v="B"/>
    <n v="220000"/>
    <n v="220000"/>
    <s v="1.6"/>
    <s v="352000"/>
    <s v="352705"/>
    <s v="704"/>
    <s v="0"/>
    <s v="1"/>
    <s v="GBP"/>
    <s v="GBP"/>
    <n v="352705"/>
  </r>
  <r>
    <x v="1"/>
    <d v="2019-12-23T00:00:00.000"/>
    <s v="3000290"/>
    <s v="5560"/>
    <s v="Confirmed"/>
    <s v="N"/>
    <x v="12"/>
    <d v="2019-12-20T00:00:00.000"/>
    <d v="1899-12-30T16:27:35.000"/>
    <d v="2019-12-24T00:00:00.000"/>
    <s v="Equity"/>
    <m/>
    <s v="BQ8NYV1"/>
    <s v="IM00BQ8NYV14"/>
    <s v="KAPE"/>
    <s v="N"/>
    <s v="N"/>
    <s v="N/A"/>
    <m/>
    <m/>
    <m/>
    <s v="B"/>
    <n v="25000"/>
    <n v="25000"/>
    <s v="1.6"/>
    <s v="40000"/>
    <s v="40080"/>
    <s v="80"/>
    <s v="0"/>
    <s v="0"/>
    <s v="GBP"/>
    <s v="GBP"/>
    <n v="40080"/>
  </r>
  <r>
    <x v="1"/>
    <d v="2019-12-23T00:00:00.000"/>
    <s v="3000290"/>
    <s v="5498"/>
    <s v="Confirmed"/>
    <s v="N"/>
    <x v="5"/>
    <d v="2019-12-20T00:00:00.000"/>
    <d v="1899-12-30T12:35:36.000"/>
    <d v="2019-12-24T00:00:00.000"/>
    <s v="Equity"/>
    <m/>
    <s v="0006053"/>
    <s v="GB0000060532"/>
    <s v="NET"/>
    <s v="N"/>
    <s v="N"/>
    <s v="N/A"/>
    <m/>
    <m/>
    <m/>
    <s v="B"/>
    <n v="21465"/>
    <n v="21465"/>
    <s v="0.2954"/>
    <s v="6340.761"/>
    <s v="6353.442522"/>
    <s v="12.681522"/>
    <s v="0"/>
    <s v="0"/>
    <s v="GBP"/>
    <s v="GBP"/>
    <n v="6353.442522"/>
  </r>
  <r>
    <x v="1"/>
    <d v="2019-12-23T00:00:00.000"/>
    <s v="3000290"/>
    <s v="5556"/>
    <s v="Confirmed"/>
    <s v="N"/>
    <x v="12"/>
    <d v="2019-12-20T00:00:00.000"/>
    <d v="1899-12-30T16:27:44.000"/>
    <d v="2019-12-24T00:00:00.000"/>
    <s v="Equity"/>
    <m/>
    <s v="BYYJL41"/>
    <s v="GB00BYYJL418"/>
    <s v="NXR"/>
    <s v="N"/>
    <s v="N"/>
    <s v="N/A"/>
    <m/>
    <m/>
    <m/>
    <s v="B"/>
    <n v="47647"/>
    <n v="47647"/>
    <s v="2.7262963"/>
    <s v="129899.8398"/>
    <s v="130811.4395"/>
    <s v="259.7996796"/>
    <s v="0"/>
    <s v="651.8"/>
    <s v="GBP"/>
    <s v="GBP"/>
    <n v="130811.4395"/>
  </r>
  <r>
    <x v="0"/>
    <d v="2019-12-23T00:00:00.000"/>
    <s v="3000291"/>
    <s v="5748"/>
    <s v="Confirmed"/>
    <s v="N"/>
    <x v="12"/>
    <d v="2019-12-20T00:00:00.000"/>
    <d v="1899-12-30T16:26:02.000"/>
    <d v="2019-12-24T00:00:00.000"/>
    <s v="Equity"/>
    <m/>
    <s v="0918642"/>
    <s v="GB0009186429"/>
    <s v="FIF"/>
    <s v="N"/>
    <s v="N"/>
    <s v="N/A"/>
    <m/>
    <m/>
    <m/>
    <s v="B"/>
    <n v="85000"/>
    <n v="85000"/>
    <s v="0.91"/>
    <s v="77350"/>
    <s v="77505.7"/>
    <s v="154.7"/>
    <s v="0"/>
    <s v="1"/>
    <s v="GBP"/>
    <s v="GBP"/>
    <n v="77505.7"/>
  </r>
  <r>
    <x v="1"/>
    <d v="2019-12-24T00:00:00.000"/>
    <s v="3000290"/>
    <s v="5769"/>
    <s v="Confirmed"/>
    <s v="N"/>
    <x v="7"/>
    <d v="2019-12-23T00:00:00.000"/>
    <d v="1899-12-30T13:03:00.000"/>
    <d v="2019-12-27T00:00:00.000"/>
    <s v="Equity"/>
    <m/>
    <s v="BH4JR00"/>
    <s v="GB00BH4JR002"/>
    <s v="LGRS"/>
    <s v="N"/>
    <s v="N"/>
    <s v="N/A"/>
    <m/>
    <m/>
    <m/>
    <s v="B"/>
    <n v="502521"/>
    <n v="502521"/>
    <s v="2.1"/>
    <s v="1055294.1"/>
    <s v="1057405.68"/>
    <s v="2110.58"/>
    <s v="0"/>
    <s v="1"/>
    <s v="GBP"/>
    <s v="GBP"/>
    <n v="1057405.68"/>
  </r>
  <r>
    <x v="1"/>
    <d v="2019-12-24T00:00:00.000"/>
    <s v="3000290"/>
    <s v="5797"/>
    <s v="Confirmed"/>
    <s v="N"/>
    <x v="12"/>
    <d v="2019-12-24T00:00:00.000"/>
    <d v="1899-12-30T09:30:56.000"/>
    <d v="2019-12-30T00:00:00.000"/>
    <s v="Equity"/>
    <m/>
    <s v="BF020D3"/>
    <s v="GB00BF020D33"/>
    <s v="TEG"/>
    <s v="N"/>
    <s v="N"/>
    <s v="N/A"/>
    <m/>
    <m/>
    <m/>
    <s v="B"/>
    <n v="200000"/>
    <n v="200000"/>
    <s v="3"/>
    <s v="600000"/>
    <s v="604207"/>
    <s v="1200"/>
    <s v="0"/>
    <s v="3007"/>
    <s v="GBP"/>
    <s v="GBP"/>
    <n v="604207"/>
  </r>
  <r>
    <x v="1"/>
    <d v="2019-12-24T00:00:00.000"/>
    <s v="3000290"/>
    <s v="5800"/>
    <s v="Confirmed"/>
    <s v="N"/>
    <x v="3"/>
    <d v="2019-12-24T00:00:00.000"/>
    <d v="1899-12-30T10:20:56.000"/>
    <d v="2019-12-30T00:00:00.000"/>
    <s v="Equity"/>
    <m/>
    <s v="BQSBH50"/>
    <s v="GB00BQSBH502"/>
    <s v="MAB1"/>
    <s v="N"/>
    <s v="N"/>
    <s v="N/A"/>
    <m/>
    <m/>
    <m/>
    <s v="B"/>
    <n v="290594"/>
    <n v="290594"/>
    <s v="7.7"/>
    <s v="2237573.8"/>
    <s v="2242049.95"/>
    <s v="4475.15"/>
    <s v="0"/>
    <s v="1"/>
    <s v="GBP"/>
    <s v="GBP"/>
    <n v="2242049.95"/>
  </r>
  <r>
    <x v="1"/>
    <d v="2019-12-24T00:00:00.000"/>
    <s v="3000290"/>
    <s v="5755.1"/>
    <s v="Confirmed"/>
    <s v="N"/>
    <x v="12"/>
    <d v="2019-12-23T00:00:00.000"/>
    <d v="1899-12-30T16:48:27.000"/>
    <d v="2019-12-27T00:00:00.000"/>
    <s v="Equity"/>
    <m/>
    <s v="0918642"/>
    <s v="GB0009186429"/>
    <s v="FIF"/>
    <s v="N"/>
    <s v="N"/>
    <s v="N/A"/>
    <m/>
    <m/>
    <m/>
    <s v="B"/>
    <n v="152723"/>
    <n v="152723"/>
    <s v="0.925"/>
    <s v="141268.775"/>
    <s v="141552.3126"/>
    <s v="282.53755"/>
    <s v="0"/>
    <s v="1"/>
    <s v="GBP"/>
    <s v="GBP"/>
    <n v="141552.3126"/>
  </r>
  <r>
    <x v="0"/>
    <d v="2019-12-24T00:00:00.000"/>
    <s v="3000291"/>
    <s v="5801"/>
    <s v="Confirmed"/>
    <s v="N"/>
    <x v="3"/>
    <d v="2019-12-24T00:00:00.000"/>
    <d v="1899-12-30T10:20:56.000"/>
    <d v="2019-12-30T00:00:00.000"/>
    <s v="Equity"/>
    <m/>
    <s v="BQSBH50"/>
    <s v="GB00BQSBH502"/>
    <s v="MAB1"/>
    <s v="N"/>
    <s v="N"/>
    <s v="N/A"/>
    <m/>
    <m/>
    <m/>
    <s v="B"/>
    <n v="59406"/>
    <n v="59406"/>
    <s v="7.7"/>
    <s v="457426.2"/>
    <s v="458342.05"/>
    <s v="914.85"/>
    <s v="0"/>
    <s v="1"/>
    <s v="GBP"/>
    <s v="GBP"/>
    <n v="458342.05"/>
  </r>
  <r>
    <x v="0"/>
    <d v="2019-12-24T00:00:00.000"/>
    <s v="3000291"/>
    <s v="5755.2"/>
    <s v="Confirmed"/>
    <s v="N"/>
    <x v="12"/>
    <d v="2019-12-23T00:00:00.000"/>
    <d v="1899-12-30T16:48:27.000"/>
    <d v="2019-12-27T00:00:00.000"/>
    <s v="Equity"/>
    <m/>
    <s v="0918642"/>
    <s v="GB0009186429"/>
    <s v="FIF"/>
    <s v="N"/>
    <s v="N"/>
    <s v="N/A"/>
    <m/>
    <m/>
    <m/>
    <s v="B"/>
    <n v="19064"/>
    <n v="19064"/>
    <s v="0.925"/>
    <s v="17634.2"/>
    <s v="17670.4684"/>
    <s v="35.2684"/>
    <s v="0"/>
    <s v="1"/>
    <s v="GBP"/>
    <s v="GBP"/>
    <n v="17670.4684"/>
  </r>
  <r>
    <x v="2"/>
    <d v="2019-12-24T00:00:00.000"/>
    <s v="3000292"/>
    <s v="5770"/>
    <s v="Confirmed"/>
    <s v="N"/>
    <x v="7"/>
    <d v="2019-12-23T00:00:00.000"/>
    <d v="1899-12-30T13:03:00.000"/>
    <d v="2019-12-27T00:00:00.000"/>
    <s v="Equity"/>
    <m/>
    <s v="BH4JR00"/>
    <s v="GB00BH4JR002"/>
    <s v="LGRS"/>
    <s v="N"/>
    <s v="N"/>
    <s v="N/A"/>
    <m/>
    <m/>
    <m/>
    <s v="B"/>
    <n v="14780"/>
    <n v="14780"/>
    <s v="2.1"/>
    <s v="31038"/>
    <s v="31101.08"/>
    <s v="62.08"/>
    <s v="0"/>
    <s v="1"/>
    <s v="GBP"/>
    <s v="GBP"/>
    <n v="31101.08"/>
  </r>
  <r>
    <x v="0"/>
    <d v="2019-12-27T00:00:00.000"/>
    <s v="3000291"/>
    <s v="5858"/>
    <s v="Confirmed"/>
    <s v="N"/>
    <x v="12"/>
    <d v="2019-12-24T00:00:00.000"/>
    <d v="1899-12-30T13:55:16.000"/>
    <d v="2019-12-30T00:00:00.000"/>
    <s v="Equity"/>
    <m/>
    <s v="3091357"/>
    <s v="GB0030913577"/>
    <s v="BT/A"/>
    <s v="N"/>
    <s v="N"/>
    <s v="N"/>
    <m/>
    <m/>
    <m/>
    <s v="B"/>
    <n v="1000000"/>
    <n v="1000000"/>
    <s v="2.00558"/>
    <s v="2005580"/>
    <s v="2017624.51"/>
    <s v="2005.58"/>
    <s v="0"/>
    <s v="10038.93"/>
    <s v="GBP"/>
    <s v="GBP"/>
    <n v="2017624.51"/>
  </r>
  <r>
    <x v="0"/>
    <d v="2019-12-27T00:00:00.000"/>
    <s v="3000291"/>
    <s v="5855"/>
    <s v="Confirmed"/>
    <s v="N"/>
    <x v="12"/>
    <d v="2019-12-24T00:00:00.000"/>
    <d v="1899-12-30T12:34:14.000"/>
    <d v="2019-12-30T00:00:00.000"/>
    <s v="Equity"/>
    <m/>
    <s v="0918642"/>
    <s v="GB0009186429"/>
    <s v="FIF"/>
    <s v="N"/>
    <s v="N"/>
    <s v="N"/>
    <m/>
    <m/>
    <m/>
    <s v="B"/>
    <n v="43280"/>
    <n v="43280"/>
    <s v="0.9377564"/>
    <s v="40586.09699"/>
    <s v="40668.26699"/>
    <s v="81.17"/>
    <s v="0"/>
    <s v="1"/>
    <s v="GBP"/>
    <s v="GBP"/>
    <n v="40668.26699"/>
  </r>
  <r>
    <x v="1"/>
    <d v="2019-12-27T00:00:00.000"/>
    <s v="3000290"/>
    <s v="5854"/>
    <s v="Confirmed"/>
    <s v="N"/>
    <x v="12"/>
    <d v="2019-12-24T00:00:00.000"/>
    <d v="1899-12-30T12:34:14.000"/>
    <d v="2019-12-30T00:00:00.000"/>
    <s v="Equity"/>
    <m/>
    <s v="0918642"/>
    <s v="GB0009186429"/>
    <s v="FIF"/>
    <s v="N"/>
    <s v="N"/>
    <s v="N"/>
    <m/>
    <m/>
    <m/>
    <s v="B"/>
    <n v="346720"/>
    <n v="346720"/>
    <s v="0.9377564"/>
    <s v="325138.899"/>
    <s v="325790.179"/>
    <s v="650.28"/>
    <s v="0"/>
    <s v="1"/>
    <s v="GBP"/>
    <s v="GBP"/>
    <n v="325790.179"/>
  </r>
  <r>
    <x v="1"/>
    <d v="2019-12-27T00:00:00.000"/>
    <s v="3000290"/>
    <s v="5836"/>
    <s v="Confirmed"/>
    <s v="N"/>
    <x v="12"/>
    <d v="2019-12-24T00:00:00.000"/>
    <d v="1899-12-30T12:29:54.000"/>
    <d v="2019-12-30T00:00:00.000"/>
    <s v="Equity"/>
    <m/>
    <s v="BZBX0P7"/>
    <s v="GB00BZBX0P70"/>
    <s v="GYM"/>
    <s v="N"/>
    <s v="N"/>
    <s v="N"/>
    <m/>
    <m/>
    <m/>
    <s v="B"/>
    <n v="200000"/>
    <n v="200000"/>
    <s v="2.899625"/>
    <s v="579925"/>
    <s v="583991.27"/>
    <s v="1159.85"/>
    <s v="0"/>
    <s v="2906.42"/>
    <s v="GBP"/>
    <s v="GBP"/>
    <n v="583991.27"/>
  </r>
  <r>
    <x v="1"/>
    <d v="2019-12-27T00:00:00.000"/>
    <s v="3000290"/>
    <s v="5847"/>
    <s v="Confirmed"/>
    <s v="N"/>
    <x v="12"/>
    <d v="2019-12-24T00:00:00.000"/>
    <d v="1899-12-30T12:33:12.000"/>
    <d v="2019-12-30T00:00:00.000"/>
    <s v="Equity"/>
    <m/>
    <s v="BQ8NYV1"/>
    <s v="IM00BQ8NYV14"/>
    <s v="KAPE"/>
    <s v="N"/>
    <s v="N"/>
    <s v="N"/>
    <m/>
    <m/>
    <m/>
    <s v="B"/>
    <n v="25000"/>
    <n v="25000"/>
    <s v="1.6"/>
    <s v="40000"/>
    <s v="40080"/>
    <s v="80"/>
    <s v="0"/>
    <s v="0"/>
    <s v="GBP"/>
    <s v="GBP"/>
    <n v="40080"/>
  </r>
  <r>
    <x v="1"/>
    <d v="2019-12-27T00:00:00.000"/>
    <s v="3000290"/>
    <s v="5856"/>
    <s v="Confirmed"/>
    <s v="N"/>
    <x v="12"/>
    <d v="2019-12-24T00:00:00.000"/>
    <d v="1899-12-30T12:25:05.000"/>
    <d v="2019-12-30T00:00:00.000"/>
    <s v="Equity"/>
    <m/>
    <s v="BYYJL41"/>
    <s v="GB00BYYJL418"/>
    <s v="NXR"/>
    <s v="N"/>
    <s v="N"/>
    <s v="N"/>
    <m/>
    <m/>
    <m/>
    <s v="B"/>
    <n v="22500"/>
    <n v="22500"/>
    <s v="2.8"/>
    <s v="63000"/>
    <s v="63442.63"/>
    <s v="126"/>
    <s v="0"/>
    <s v="316.63"/>
    <s v="GBP"/>
    <s v="GBP"/>
    <n v="63442.63"/>
  </r>
  <r>
    <x v="1"/>
    <d v="2019-12-27T00:00:00.000"/>
    <s v="3000290"/>
    <s v="5813"/>
    <s v="Confirmed"/>
    <s v="N"/>
    <x v="12"/>
    <d v="2019-12-24T00:00:00.000"/>
    <d v="1899-12-30T11:51:34.000"/>
    <d v="2019-12-30T00:00:00.000"/>
    <s v="Equity"/>
    <m/>
    <s v="BYYJL41"/>
    <s v="GB00BYYJL418"/>
    <s v="NXR"/>
    <s v="N"/>
    <s v="N"/>
    <s v="N"/>
    <m/>
    <m/>
    <m/>
    <s v="B"/>
    <n v="78000"/>
    <n v="78000"/>
    <s v="2.7987179"/>
    <s v="218299.9962"/>
    <s v="219831.2762"/>
    <s v="436.5999924"/>
    <s v="0"/>
    <s v="1094.68"/>
    <s v="GBP"/>
    <s v="GBP"/>
    <n v="219831.2762"/>
  </r>
  <r>
    <x v="1"/>
    <d v="2019-12-27T00:00:00.000"/>
    <s v="3000290"/>
    <s v="5790"/>
    <s v="Confirmed"/>
    <s v="N"/>
    <x v="12"/>
    <d v="2019-12-24T00:00:00.000"/>
    <d v="1899-12-30T11:01:00.000"/>
    <d v="2019-12-30T00:00:00.000"/>
    <s v="Equity"/>
    <m/>
    <s v="BYZFM56"/>
    <s v="GB00BYZFM569"/>
    <s v="ORCH"/>
    <s v="N"/>
    <s v="N"/>
    <s v="N"/>
    <m/>
    <m/>
    <m/>
    <s v="B"/>
    <n v="150000"/>
    <n v="150000"/>
    <s v="0.75"/>
    <s v="112500"/>
    <s v="112726"/>
    <s v="225"/>
    <s v="0"/>
    <s v="1"/>
    <s v="GBP"/>
    <s v="GBP"/>
    <n v="112726"/>
  </r>
  <r>
    <x v="1"/>
    <d v="2019-12-31T00:00:00.000"/>
    <s v="3000290"/>
    <s v="5946"/>
    <s v="Confirmed"/>
    <s v="N"/>
    <x v="3"/>
    <d v="2019-12-30T00:00:00.000"/>
    <d v="1899-12-30T15:06:44.000"/>
    <d v="2020-01-02T00:00:00.000"/>
    <s v="Equity"/>
    <m/>
    <s v="BYYJL41"/>
    <s v="GB00BYYJL418"/>
    <s v="NXR"/>
    <s v="N"/>
    <s v="N"/>
    <s v="N"/>
    <m/>
    <m/>
    <m/>
    <s v="B"/>
    <n v="20000"/>
    <n v="20000"/>
    <s v="2.794724"/>
    <s v="55894.48"/>
    <s v="56287.3"/>
    <s v="111.79"/>
    <s v="0"/>
    <s v="281.03"/>
    <s v="GBP"/>
    <s v="GBP"/>
    <n v="56287.3"/>
  </r>
  <r>
    <x v="1"/>
    <d v="2019-12-31T00:00:00.000"/>
    <s v="3000290"/>
    <s v="5942"/>
    <s v="Confirmed"/>
    <s v="N"/>
    <x v="12"/>
    <d v="2019-12-30T00:00:00.000"/>
    <d v="1899-12-30T11:45:35.000"/>
    <d v="2020-01-02T00:00:00.000"/>
    <s v="Equity"/>
    <m/>
    <s v="0918642"/>
    <s v="GB0009186429"/>
    <s v="FIF"/>
    <s v="N"/>
    <s v="N"/>
    <s v="N"/>
    <m/>
    <m/>
    <m/>
    <s v="B"/>
    <n v="44451"/>
    <n v="44451"/>
    <s v="0.97"/>
    <s v="43117.47"/>
    <s v="43204.7"/>
    <s v="86.23"/>
    <s v="0"/>
    <s v="1"/>
    <s v="GBP"/>
    <s v="GBP"/>
    <n v="43204.7"/>
  </r>
  <r>
    <x v="0"/>
    <d v="2019-12-31T00:00:00.000"/>
    <s v="3000291"/>
    <s v="5943"/>
    <s v="Confirmed"/>
    <s v="N"/>
    <x v="12"/>
    <d v="2019-12-30T00:00:00.000"/>
    <d v="1899-12-30T11:45:35.000"/>
    <d v="2020-01-02T00:00:00.000"/>
    <s v="Equity"/>
    <m/>
    <s v="0918642"/>
    <s v="GB0009186429"/>
    <s v="FIF"/>
    <s v="N"/>
    <s v="N"/>
    <s v="N"/>
    <m/>
    <m/>
    <m/>
    <s v="B"/>
    <n v="5549"/>
    <n v="5549"/>
    <s v="0.97"/>
    <s v="5382.53"/>
    <s v="5393.3"/>
    <s v="10.77"/>
    <s v="0"/>
    <s v="0"/>
    <s v="GBP"/>
    <s v="GBP"/>
    <s v="5393.3"/>
  </r>
  <r>
    <x v="0"/>
    <d v="2019-12-31T00:00:00.000"/>
    <s v="3000291"/>
    <s v="5927"/>
    <s v="Confirmed"/>
    <s v="N"/>
    <x v="12"/>
    <d v="2019-12-30T00:00:00.000"/>
    <d v="1899-12-30T14:40:03.000"/>
    <d v="2020-01-02T00:00:00.000"/>
    <s v="Equity"/>
    <m/>
    <s v="3091357"/>
    <s v="GB0030913577"/>
    <s v="BT/A"/>
    <s v="N"/>
    <s v="N"/>
    <s v="N"/>
    <m/>
    <m/>
    <m/>
    <s v="S"/>
    <n v="1000000"/>
    <n v="1000000"/>
    <s v="1.942359"/>
    <s v="1942359"/>
    <s v="1940415.64"/>
    <s v="1942.36"/>
    <s v="0"/>
    <s v="1"/>
    <s v="GBP"/>
    <s v="GBP"/>
    <s v="1940415.64"/>
  </r>
  <r>
    <x v="0"/>
    <d v="2019-12-31T00:00:00.000"/>
    <s v="3000291"/>
    <s v="5931"/>
    <s v="Confirmed"/>
    <s v="N"/>
    <x v="12"/>
    <d v="2019-12-30T00:00:00.000"/>
    <d v="1899-12-30T14:49:29.000"/>
    <d v="2020-01-02T00:00:00.000"/>
    <s v="Equity"/>
    <m/>
    <s v="3091357"/>
    <s v="GB0030913577"/>
    <s v="BT/A"/>
    <s v="N"/>
    <s v="N"/>
    <s v="N"/>
    <m/>
    <m/>
    <m/>
    <s v="B"/>
    <n v="500000"/>
    <n v="500000"/>
    <s v="1.991295"/>
    <s v="995647.5"/>
    <s v="1001627.37"/>
    <s v="995.65"/>
    <s v="0"/>
    <s v="4984.22"/>
    <s v="GBP"/>
    <s v="GBP"/>
    <s v="1001627.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">
  <r>
    <x v="0"/>
    <m/>
    <m/>
    <m/>
    <m/>
    <m/>
    <m/>
    <x v="0"/>
    <m/>
    <m/>
    <m/>
    <m/>
    <m/>
    <m/>
    <m/>
  </r>
  <r>
    <x v="1"/>
    <s v="PCF GROUP"/>
    <s v="GB0004189378"/>
    <s v="Buy"/>
    <d v="2019-03-05T00:00:00.000"/>
    <d v="2019-03-11T00:00:00.000"/>
    <m/>
    <x v="1"/>
    <s v="richard.johnson@stockdalesecurities.com"/>
    <n v="833333"/>
    <n v="0.3"/>
    <n v="-249999.9"/>
    <m/>
    <n v="-249999.9"/>
    <m/>
  </r>
  <r>
    <x v="1"/>
    <s v="PCF GROUP"/>
    <s v="GB0004189378"/>
    <s v="Sell"/>
    <d v="2019-12-06T00:00:00.000"/>
    <d v="2019-12-04T00:00:00.000"/>
    <s v="Shore Capital"/>
    <x v="2"/>
    <s v="settlements@shorecap.co.uk"/>
    <n v="200000"/>
    <n v="0.36"/>
    <n v="-72000"/>
    <n v="-193.15"/>
    <n v="-72193.15"/>
    <m/>
  </r>
  <r>
    <x v="1"/>
    <s v="PCF GROUP"/>
    <s v="GB0004189378"/>
    <s v="Sell"/>
    <d v="2019-12-09T00:00:00.000"/>
    <d v="2019-12-05T00:00:00.000"/>
    <s v="Shore Capital"/>
    <x v="2"/>
    <s v="settlements@shorecap.co.uk"/>
    <n v="150000"/>
    <n v="0.36"/>
    <n v="-54000"/>
    <n v="-157.15"/>
    <n v="-54157.15"/>
    <m/>
  </r>
  <r>
    <x v="1"/>
    <s v="PCF GROUP"/>
    <s v="GB0004189378"/>
    <s v="Sell"/>
    <d v="2019-12-16T00:00:00.000"/>
    <d v="2019-12-12T00:00:00.000"/>
    <s v="WBS"/>
    <x v="3"/>
    <s v="mark.cooper@winterflood.com"/>
    <n v="353000"/>
    <n v="0.36"/>
    <n v="-127080"/>
    <n v="-302.65999999999997"/>
    <n v="-127382.66"/>
    <m/>
  </r>
  <r>
    <x v="1"/>
    <s v="PCF GROUP"/>
    <s v="GB0004189378"/>
    <s v="Sell"/>
    <d v="2019-12-24T00:00:00.000"/>
    <d v="2019-12-20T00:00:00.000"/>
    <s v="WBS"/>
    <x v="3"/>
    <s v="mark.cooper@winterflood.com"/>
    <n v="25000"/>
    <n v="0.36"/>
    <n v="-9000"/>
    <n v="-66.71"/>
    <n v="-9066.71"/>
    <m/>
  </r>
  <r>
    <x v="1"/>
    <s v="PCF GROUP"/>
    <s v="GB0004189378"/>
    <s v="Sell"/>
    <d v="2019-12-27T00:00:00.000"/>
    <d v="2019-12-23T00:00:00.000"/>
    <s v="WBS"/>
    <x v="3"/>
    <s v="mark.cooper@winterflood.com"/>
    <n v="100000"/>
    <n v="0.35"/>
    <n v="-35000"/>
    <n v="-119.71"/>
    <n v="-35119.71"/>
    <m/>
  </r>
  <r>
    <x v="1"/>
    <s v="PCF GROUP"/>
    <s v="GB0004189378"/>
    <s v="Sell"/>
    <d v="2020-01-02T00:00:00.000"/>
    <d v="2019-12-30T00:00:00.000"/>
    <s v="WBS"/>
    <x v="3"/>
    <s v="mark.cooper@winterflood.com"/>
    <n v="100000"/>
    <n v="0.35"/>
    <n v="-35000"/>
    <n v="-119.36"/>
    <n v="-35119.36"/>
    <m/>
  </r>
  <r>
    <x v="1"/>
    <s v="BRAND ARCHITEK. ORD 5P "/>
    <s v="GB0008667304"/>
    <s v="Buy"/>
    <d v="2019-09-10T00:00:00.000"/>
    <d v="2019-09-06T00:00:00.000"/>
    <s v="N+1"/>
    <x v="4"/>
    <s v="ops@NPlus1Singer.com"/>
    <n v="45500"/>
    <n v="1.922777"/>
    <n v="-87486.3535"/>
    <n v="-175.97"/>
    <n v="-87662.3235"/>
    <m/>
  </r>
  <r>
    <x v="1"/>
    <s v="BRAND ARCHITEK. ORD 5P "/>
    <s v="GB0008667304"/>
    <s v="Buy"/>
    <d v="2019-09-17T00:00:00.000"/>
    <d v="2019-09-13T00:00:00.000"/>
    <s v="N+1"/>
    <x v="4"/>
    <s v="ops@NPlus1Singer.com"/>
    <n v="35000"/>
    <n v="1.925039"/>
    <n v="-67376.365"/>
    <n v="-186.31"/>
    <n v="-67562.675"/>
    <m/>
  </r>
  <r>
    <x v="1"/>
    <s v="SWALLOWFIELD ORD 5P "/>
    <s v="GB0008667304"/>
    <s v="Buy"/>
    <d v="2019-01-29T00:00:00.000"/>
    <d v="2019-01-25T00:00:00.000"/>
    <s v="N+1"/>
    <x v="4"/>
    <s v="ops@NPlus1Singer.com"/>
    <n v="15000"/>
    <n v="2.125"/>
    <n v="-31875"/>
    <n v="-64.75"/>
    <n v="-31939.75"/>
    <m/>
  </r>
  <r>
    <x v="1"/>
    <s v="SWALLOWFIELD ORD 5P"/>
    <s v="GB0008667304"/>
    <s v="Buy"/>
    <d v="2019-02-01T00:00:00.000"/>
    <d v="2019-02-05T00:00:00.000"/>
    <s v="N+1"/>
    <x v="4"/>
    <s v="ops@NPlus1Singer.com"/>
    <n v="10000"/>
    <n v="2.15"/>
    <n v="-21500"/>
    <n v="-44"/>
    <n v="-21544"/>
    <m/>
  </r>
  <r>
    <x v="1"/>
    <s v="SWALLOWFIELD ORD 5P"/>
    <s v="GB0008667304"/>
    <s v="Buy"/>
    <d v="2019-02-08T00:00:00.000"/>
    <d v="2019-02-12T00:00:00.000"/>
    <s v="N+1"/>
    <x v="4"/>
    <s v="ops@NPlus1Singer.com"/>
    <n v="15500"/>
    <n v="2.147906"/>
    <n v="-33292.543"/>
    <n v="-67.59"/>
    <n v="-33360.132999999994"/>
    <m/>
  </r>
  <r>
    <x v="1"/>
    <s v="SWALLOWFIELD ORD 5P"/>
    <s v="GB0008667304"/>
    <s v="Buy"/>
    <d v="2019-02-22T00:00:00.000"/>
    <d v="2019-02-26T00:00:00.000"/>
    <s v="N+1"/>
    <x v="4"/>
    <s v="ops@NPlus1Singer.com"/>
    <n v="15000"/>
    <n v="2.225"/>
    <n v="-33375"/>
    <n v="-67.75"/>
    <n v="-33442.75"/>
    <m/>
  </r>
  <r>
    <x v="1"/>
    <s v="SWALLOWFIELD ORD 5P"/>
    <s v="GB0008667304"/>
    <s v="Buy"/>
    <d v="2019-03-05T00:00:00.000"/>
    <d v="2019-03-01T00:00:00.000"/>
    <s v="N+1"/>
    <x v="4"/>
    <s v="ops@NPlus1Singer.com"/>
    <n v="9500"/>
    <n v="2.196079"/>
    <n v="-20862.750500000002"/>
    <n v="-42.73"/>
    <n v="-20905.4805"/>
    <m/>
  </r>
  <r>
    <x v="1"/>
    <s v="SWALLOWFIELD ORD 5P"/>
    <s v="GB0008667304"/>
    <s v="Buy"/>
    <d v="2019-03-19T00:00:00.000"/>
    <d v="2019-03-15T00:00:00.000"/>
    <s v="N+1"/>
    <x v="4"/>
    <s v="ops@NPlus1Singer.com"/>
    <n v="85000"/>
    <n v="1.8"/>
    <n v="-153000"/>
    <n v="-307"/>
    <n v="-153307"/>
    <m/>
  </r>
  <r>
    <x v="1"/>
    <s v="SWALLOWFIELD ORD 5P"/>
    <s v="GB0008667304"/>
    <s v="Buy"/>
    <d v="2019-03-26T00:00:00.000"/>
    <d v="2019-03-22T00:00:00.000"/>
    <s v="CAFZ"/>
    <x v="4"/>
    <s v="ops@NPlus1Singer.com"/>
    <n v="23273"/>
    <n v="1.817582"/>
    <n v="-42300.585886"/>
    <n v="-85.6"/>
    <n v="-42386.185886"/>
    <m/>
  </r>
  <r>
    <x v="1"/>
    <s v="SWALLOWFIELD ORD 5P"/>
    <s v="GB0008667304"/>
    <s v="Buy"/>
    <d v="2019-04-02T00:00:00.000"/>
    <d v="2019-03-29T00:00:00.000"/>
    <s v="CAFZ"/>
    <x v="4"/>
    <s v="ops@NPlus1Singer.com"/>
    <n v="40000"/>
    <n v="1.805"/>
    <n v="-72200"/>
    <n v="-145.4"/>
    <n v="-72345.4"/>
    <m/>
  </r>
  <r>
    <x v="1"/>
    <s v="SWALLOWFIELD ORD 5P"/>
    <s v="GB0008667304"/>
    <s v="Buy"/>
    <d v="2019-04-09T00:00:00.000"/>
    <d v="2019-04-05T00:00:00.000"/>
    <s v="CAFZ"/>
    <x v="4"/>
    <s v="ops@NPlus1Singer.com"/>
    <n v="14500"/>
    <n v="1.844483"/>
    <n v="-26745.003500000003"/>
    <n v="-54.49"/>
    <n v="-26799.493500000004"/>
    <m/>
  </r>
  <r>
    <x v="1"/>
    <s v="SWALLOWFIELD ORD 5P"/>
    <s v="GB0008667304"/>
    <s v="Buy"/>
    <d v="2019-08-19T00:00:00.000"/>
    <d v="2019-08-15T00:00:00.000"/>
    <s v="CAFZ"/>
    <x v="4"/>
    <s v="ops@NPlus1Singer.com"/>
    <n v="175000"/>
    <n v="2"/>
    <n v="-350000"/>
    <n v="-701"/>
    <n v="-350701"/>
    <m/>
  </r>
  <r>
    <x v="1"/>
    <s v="SWALLOWFIELD ORD 5P"/>
    <s v="GB0008667304"/>
    <s v="Buy"/>
    <d v="2019-08-28T00:00:00.000"/>
    <d v="2019-08-23T00:00:00.000"/>
    <s v="N+1"/>
    <x v="4"/>
    <s v="ops@NPlus1Singer.com"/>
    <n v="9500"/>
    <n v="1.92661"/>
    <n v="-18302.795"/>
    <n v="-37.61"/>
    <n v="-18340.405"/>
    <m/>
  </r>
  <r>
    <x v="1"/>
    <s v="UNIVERSE GROUP"/>
    <s v="GB0009483594"/>
    <s v="Buy"/>
    <d v="2019-03-01T00:00:00.000"/>
    <d v="2019-03-05T00:00:00.000"/>
    <s v="CAFZ"/>
    <x v="5"/>
    <s v="CAFZ-Equities_PET@cantor.co.uk"/>
    <n v="1298728"/>
    <n v="0.049299"/>
    <n v="-64025.991672000004"/>
    <n v="-129.05"/>
    <n v="-64155.04167200001"/>
    <m/>
  </r>
  <r>
    <x v="1"/>
    <s v="UNIVERSE GROUP"/>
    <s v="GB0009483594"/>
    <s v="Buy"/>
    <d v="2019-03-08T00:00:00.000"/>
    <d v="2019-03-06T00:00:00.000"/>
    <s v="CAFZ"/>
    <x v="5"/>
    <s v="CAFZ-Equities_PET@cantor.co.uk"/>
    <n v="701272"/>
    <n v="0.05"/>
    <n v="-35063.6"/>
    <n v="-71.13"/>
    <n v="-35134.729999999996"/>
    <m/>
  </r>
  <r>
    <x v="1"/>
    <s v="UNIVERSE GROUP"/>
    <s v="GB0009483594"/>
    <s v="Buy"/>
    <d v="2019-05-01T00:00:00.000"/>
    <d v="2019-04-29T00:00:00.000"/>
    <s v="WBS"/>
    <x v="3"/>
    <s v="mark.cooper@winterflood.com"/>
    <n v="5000000"/>
    <n v="0.053"/>
    <n v="-265000"/>
    <n v="-531"/>
    <n v="-265531"/>
    <m/>
  </r>
  <r>
    <x v="1"/>
    <s v="UNIVERSE GROUP"/>
    <s v="GB0009483594"/>
    <s v="Buy"/>
    <d v="2019-07-15T00:00:00.000"/>
    <d v="2019-07-12T00:00:00.000"/>
    <s v="WBS"/>
    <x v="3"/>
    <s v="mark.cooper@winterflood.com"/>
    <n v="675000"/>
    <n v="0.046"/>
    <n v="-31050"/>
    <n v="-63.1"/>
    <n v="-31113.1"/>
    <m/>
  </r>
  <r>
    <x v="1"/>
    <s v="UNIVERSE GROUP"/>
    <s v="GB0009483594"/>
    <s v="Buy"/>
    <d v="2019-07-23T00:00:00.000"/>
    <d v="2019-07-19T00:00:00.000"/>
    <s v="WBS"/>
    <x v="3"/>
    <s v="mark.cooper@winterflood.com"/>
    <n v="250000"/>
    <n v="0.0455"/>
    <n v="-11375"/>
    <n v="-23.75"/>
    <n v="-11398.75"/>
    <m/>
  </r>
  <r>
    <x v="1"/>
    <s v="UNIVERSE GROUP"/>
    <s v="GB0009483594"/>
    <s v="Buy"/>
    <d v="2019-08-05T00:00:00.000"/>
    <d v="2019-08-01T00:00:00.000"/>
    <s v="WBS"/>
    <x v="3"/>
    <s v="mark.cooper@winterflood.com"/>
    <n v="500000"/>
    <n v="0.0455"/>
    <n v="-22750"/>
    <n v="-46.5"/>
    <n v="-22796.5"/>
    <m/>
  </r>
  <r>
    <x v="1"/>
    <s v="UNIVERSE GROUP"/>
    <s v="GB0009483594"/>
    <s v="Buy"/>
    <d v="2019-08-21T00:00:00.000"/>
    <d v="2019-08-19T00:00:00.000"/>
    <s v="WBS"/>
    <x v="3"/>
    <s v="mark.cooper@winterflood.com"/>
    <n v="150000"/>
    <n v="0.042"/>
    <n v="-6300"/>
    <n v="-12.6"/>
    <n v="-6312.6"/>
    <m/>
  </r>
  <r>
    <x v="1"/>
    <s v="Centaur  ORD 10P"/>
    <s v="GB0024291418"/>
    <s v="Buy"/>
    <d v="2019-07-09T00:00:00.000"/>
    <d v="2019-07-05T00:00:00.000"/>
    <s v="NUMS"/>
    <x v="3"/>
    <s v="mark.cooper@winterflood.com"/>
    <n v="22000"/>
    <n v="0.47"/>
    <n v="-10340"/>
    <n v="-73.47999999999999"/>
    <n v="-10413.48"/>
    <m/>
  </r>
  <r>
    <x v="1"/>
    <s v="Centaur  ORD 10P"/>
    <s v="GB0024291418"/>
    <s v="Buy"/>
    <d v="2019-07-16T00:00:00.000"/>
    <d v="2019-07-12T00:00:00.000"/>
    <s v="NUMS"/>
    <x v="3"/>
    <s v="mark.cooper@winterflood.com"/>
    <n v="100000"/>
    <n v="0.46"/>
    <n v="-46000"/>
    <n v="-323.46000000000004"/>
    <n v="-46323.46"/>
    <m/>
  </r>
  <r>
    <x v="1"/>
    <s v="Centaur  ORD 10P"/>
    <s v="GB0024291418"/>
    <s v="Buy"/>
    <d v="2019-07-16T00:00:00.000"/>
    <d v="2019-07-12T00:00:00.000"/>
    <s v="NUMS"/>
    <x v="6"/>
    <s v="middleoffice@numis.com"/>
    <n v="7036"/>
    <n v="0.47"/>
    <n v="-3306.9199999999996"/>
    <n v="-23.18"/>
    <n v="-3330.0999999999995"/>
    <m/>
  </r>
  <r>
    <x v="1"/>
    <s v="CENTAUR ORD 10P"/>
    <s v="GB0034291418"/>
    <s v="Buy"/>
    <d v="2019-12-16T00:00:00.000"/>
    <d v="2019-12-12T00:00:00.000"/>
    <s v="NUMS"/>
    <x v="6"/>
    <s v="middleoffice@numis.com"/>
    <n v="3575779"/>
    <n v="0.355"/>
    <n v="-1269401.545"/>
    <n v="-8947"/>
    <n v="-1278348.545"/>
    <m/>
  </r>
  <r>
    <x v="1"/>
    <s v="CENTAUR ORD "/>
    <s v="GB00BLBP4Y22"/>
    <s v="Buy"/>
    <d v="2019-12-12T00:00:00.000"/>
    <d v="2019-12-16T00:00:00.000"/>
    <s v="NUMS"/>
    <x v="6"/>
    <s v="middleoffice@numis.com"/>
    <n v="151922"/>
    <n v="0.355"/>
    <n v="-53932.31"/>
    <n v="-427.57"/>
    <n v="-54359.88"/>
    <m/>
  </r>
  <r>
    <x v="1"/>
    <s v="AUGEAN ORD "/>
    <s v="GB00B02H2F76"/>
    <s v="Buy"/>
    <d v="2019-02-24T00:00:00.000"/>
    <d v="2019-02-20T00:00:00.000"/>
    <s v="N+1"/>
    <x v="4"/>
    <s v="ops@NPlus1Singer.com"/>
    <n v="925166"/>
    <n v="2.14"/>
    <n v="-1979855.2400000002"/>
    <n v="-4008.4500000000003"/>
    <n v="-1983863.6900000002"/>
    <m/>
  </r>
  <r>
    <x v="1"/>
    <s v="NORTHBRIDGE IND ORD 10P "/>
    <s v="GB00B0SPFW38"/>
    <s v="Buy"/>
    <d v="2019-03-26T00:00:00.000"/>
    <d v="2019-03-22T00:00:00.000"/>
    <s v="CAFZ"/>
    <x v="5"/>
    <s v="CAFZ-Equities_PET@cantor.co.uk"/>
    <n v="18191"/>
    <n v="1.25"/>
    <n v="-22738.75"/>
    <n v="-46.48"/>
    <n v="-22785.23"/>
    <m/>
  </r>
  <r>
    <x v="1"/>
    <s v="NORTHBRIDGE IND ORD 10P "/>
    <s v="GB00B0SPFW38"/>
    <s v="Buy"/>
    <d v="2019-04-02T00:00:00.000"/>
    <d v="2019-03-29T00:00:00.000"/>
    <s v="CAFZ"/>
    <x v="5"/>
    <s v="CAFZ-Equities_PET@cantor.co.uk"/>
    <n v="52155"/>
    <n v="1.319565"/>
    <n v="-68821.91257500001"/>
    <n v="-138.65"/>
    <n v="-68960.562575"/>
    <m/>
  </r>
  <r>
    <x v="1"/>
    <s v="NORTHBRIDGE IND ORD 10P "/>
    <s v="GB00B0SPFW38"/>
    <s v="Buy"/>
    <d v="2019-04-09T00:00:00.000"/>
    <d v="2019-04-05T00:00:00.000"/>
    <s v="CAFZ"/>
    <x v="5"/>
    <s v="CAFZ-Equities_PET@cantor.co.uk"/>
    <n v="31747"/>
    <n v="1.35"/>
    <n v="-42858.450000000004"/>
    <n v="-86.72"/>
    <n v="-42945.170000000006"/>
    <m/>
  </r>
  <r>
    <x v="1"/>
    <s v="NORTHBRIDGE IND ORD 10P "/>
    <s v="GB00B0SPFW38"/>
    <s v="Buy"/>
    <d v="2019-10-14T00:00:00.000"/>
    <d v="2019-10-10T00:00:00.000"/>
    <s v="CAFZ"/>
    <x v="3"/>
    <s v="mark.cooper@winterflood.com"/>
    <n v="62109"/>
    <n v="1.1"/>
    <n v="-68319.90000000001"/>
    <n v="-187.73999999999998"/>
    <n v="-68507.64000000001"/>
    <m/>
  </r>
  <r>
    <x v="1"/>
    <s v="NORTHBRIDGE IND ORD 10P "/>
    <s v="GB00B0SPFW38"/>
    <s v="Buy"/>
    <d v="2019-10-21T00:00:00.000"/>
    <d v="2019-10-17T00:00:00.000"/>
    <s v="STK"/>
    <x v="2"/>
    <s v="settlements@shorecap.co.uk"/>
    <n v="166568"/>
    <n v="1.11"/>
    <n v="-184890.48"/>
    <n v="-419.96999999999997"/>
    <n v="-185310.45"/>
    <m/>
  </r>
  <r>
    <x v="1"/>
    <s v="ESCAPE HUNT PLC "/>
    <s v="GB00BDB79J29"/>
    <s v="Buy"/>
    <d v="2019-04-04T00:00:00.000"/>
    <d v="2019-04-02T00:00:00.000"/>
    <s v="LSE "/>
    <x v="7"/>
    <s v="ClientOnboarding@peelhunt.com"/>
    <n v="727272"/>
    <n v="0.55"/>
    <n v="-399999.60000000003"/>
    <n v="-801"/>
    <n v="-400800.60000000003"/>
    <m/>
  </r>
  <r>
    <x v="1"/>
    <s v="ESCAPE HUNT PLC "/>
    <s v="GB00BDB79J29"/>
    <s v="Buy"/>
    <d v="2019-06-04T00:00:00.000"/>
    <d v="2019-05-31T00:00:00.000"/>
    <s v="STK"/>
    <x v="1"/>
    <s v="richard.johnson@stockdalesecurities.com"/>
    <n v="773334"/>
    <n v="0.6"/>
    <n v="-464000.39999999997"/>
    <n v="-50.25"/>
    <n v="-464050.64999999997"/>
    <m/>
  </r>
  <r>
    <x v="1"/>
    <s v="IMIMOBILE ORD "/>
    <s v="GB00BLBP4Y22"/>
    <s v="Buy"/>
    <d v="2019-02-20T00:00:00.000"/>
    <d v="2019-02-22T00:00:00.000"/>
    <s v="N+1"/>
    <x v="4"/>
    <s v="ops@NPlus1Singer.com"/>
    <n v="420000"/>
    <n v="2.2"/>
    <n v="-924000.0000000001"/>
    <n v="-463"/>
    <n v="-924463.0000000001"/>
    <m/>
  </r>
  <r>
    <x v="1"/>
    <s v="IMIMOBILE ORD "/>
    <s v="GB00BLBP4Y22"/>
    <s v="Sell"/>
    <d v="2019-04-08T00:00:00.000"/>
    <d v="2019-04-04T00:00:00.000"/>
    <s v="N+1"/>
    <x v="4"/>
    <s v="ops@NPlus1Singer.com"/>
    <n v="220000"/>
    <n v="3.1"/>
    <n v="-682000"/>
    <n v="-1364"/>
    <n v="-683364"/>
    <m/>
  </r>
  <r>
    <x v="1"/>
    <s v="IMIMOBILE ORD "/>
    <s v="GB00BLBP4Y22"/>
    <s v="Sell"/>
    <d v="2019-07-17T00:00:00.000"/>
    <d v="2019-07-15T00:00:00.000"/>
    <s v="WBS"/>
    <x v="3"/>
    <s v="mark.cooper@winterflood.com"/>
    <n v="1001026"/>
    <n v="3.25"/>
    <n v="-3253334.5"/>
    <n v="-6507.67"/>
    <n v="-3259842.17"/>
    <m/>
  </r>
  <r>
    <x v="1"/>
    <s v="IMIMOBILE ORD "/>
    <s v="GB00BLBP4Y22"/>
    <s v="Sell"/>
    <d v="2019-09-12T00:00:00.000"/>
    <d v="2019-09-06T00:00:00.000"/>
    <s v="WBS"/>
    <x v="3"/>
    <s v="mark.cooper@winterflood.com"/>
    <n v="71950"/>
    <n v="3.3265624"/>
    <n v="-239346.16468"/>
    <n v="-530.64"/>
    <n v="-239876.80468"/>
    <m/>
  </r>
  <r>
    <x v="1"/>
    <s v="IMIMOBILE ORD "/>
    <s v="GB00BLBP4Y22"/>
    <s v="Sell"/>
    <d v="2019-11-29T00:00:00.000"/>
    <d v="2019-11-27T00:00:00.000"/>
    <s v="WBS"/>
    <x v="3"/>
    <s v="mark.cooper@winterflood.com"/>
    <n v="82102"/>
    <n v="3.205"/>
    <n v="-263136.91000000003"/>
    <n v="-575.8000000000001"/>
    <n v="-263712.71"/>
    <m/>
  </r>
  <r>
    <x v="1"/>
    <s v="IMIMOBILE ORD "/>
    <s v="GB00BLBP4Y22"/>
    <s v="Sell"/>
    <d v="2019-12-02T00:00:00.000"/>
    <d v="2019-11-28T00:00:00.000"/>
    <s v="WBS"/>
    <x v="3"/>
    <s v="mark.cooper@winterflood.com"/>
    <n v="245827"/>
    <n v="3.205"/>
    <n v="-787875.535"/>
    <n v="-1625.3700000000001"/>
    <n v="-789500.905"/>
    <m/>
  </r>
  <r>
    <x v="1"/>
    <s v="IMIMOBILE ORD "/>
    <s v="GB00BLBP4Y22"/>
    <s v="Sell"/>
    <d v="2019-12-06T00:00:00.000"/>
    <d v="2019-12-04T00:00:00.000"/>
    <s v="WBS"/>
    <x v="3"/>
    <s v="mark.cooper@winterflood.com"/>
    <n v="196262"/>
    <n v="3.2351"/>
    <n v="-634927.1962"/>
    <n v="-1319"/>
    <n v="-636246.1962"/>
    <m/>
  </r>
  <r>
    <x v="1"/>
    <s v="IMIMOBILE ORD "/>
    <s v="GB00BLBP4Y22"/>
    <s v="Sell"/>
    <d v="2019-12-11T00:00:00.000"/>
    <d v="2019-12-09T00:00:00.000"/>
    <s v="N+1"/>
    <x v="4"/>
    <s v="ops@NPlus1Singer.com"/>
    <n v="26744"/>
    <n v="3.24"/>
    <n v="-86650.56000000001"/>
    <n v="-222.46"/>
    <n v="-86873.02000000002"/>
    <m/>
  </r>
  <r>
    <x v="1"/>
    <s v="IMIMOBILE ORD "/>
    <s v="GB00BLBP4Y22"/>
    <s v="Sell"/>
    <d v="2019-12-16T00:00:00.000"/>
    <d v="2019-12-12T00:00:00.000"/>
    <s v="WBS"/>
    <x v="3"/>
    <s v="mark.cooper@winterflood.com"/>
    <n v="27388"/>
    <n v="3.24"/>
    <n v="-88737.12000000001"/>
    <n v="-225.97"/>
    <n v="-88963.09000000001"/>
    <m/>
  </r>
  <r>
    <x v="1"/>
    <s v="IMIMOBILE ORD "/>
    <s v="GB00BLBP4Y22"/>
    <s v="Sell"/>
    <d v="2019-12-20T00:00:00.000"/>
    <d v="2019-12-18T00:00:00.000"/>
    <s v="WBS"/>
    <x v="3"/>
    <s v="mark.cooper@winterflood.com"/>
    <n v="162437"/>
    <n v="3.14"/>
    <n v="-510052.18"/>
    <n v="-1069.66"/>
    <n v="-511121.83999999997"/>
    <m/>
  </r>
  <r>
    <x v="1"/>
    <s v="IMIMOBILE ORD "/>
    <s v="GB00BLBP4Y22"/>
    <s v="Sell"/>
    <d v="2019-12-23T00:00:00.000"/>
    <d v="2019-12-19T00:00:00.000"/>
    <s v="WBS"/>
    <x v="3"/>
    <s v="mark.cooper@winterflood.com"/>
    <n v="91149"/>
    <n v="3.14"/>
    <n v="-286207.86"/>
    <n v="-621.93"/>
    <n v="-286829.79"/>
    <m/>
  </r>
  <r>
    <x v="1"/>
    <s v="IMIMOBILE ORD "/>
    <s v="GB00BLBP4Y22"/>
    <s v="Sell"/>
    <d v="2019-01-31T00:00:00.000"/>
    <d v="2019-01-29T00:00:00.000"/>
    <s v="WBS"/>
    <x v="3"/>
    <s v="mark.cooper@winterflood.com"/>
    <n v="353972"/>
    <n v="3.81"/>
    <n v="-1348633.32"/>
    <n v="-2746.63"/>
    <n v="-1351379.95"/>
    <m/>
  </r>
  <r>
    <x v="1"/>
    <s v="IMIMOBILE ORD "/>
    <s v="GB00BLBP4Y22"/>
    <s v="Sell"/>
    <d v="2019-01-31T00:00:00.000"/>
    <d v="2019-01-29T00:00:00.000"/>
    <s v="WBS"/>
    <x v="3"/>
    <s v="mark.cooper@winterflood.com"/>
    <n v="200000"/>
    <n v="3.81"/>
    <n v="-762000"/>
    <n v="-1573.3600000000001"/>
    <n v="-763573.36"/>
    <m/>
  </r>
  <r>
    <x v="1"/>
    <s v="IMIMOBILE ORD "/>
    <s v="GB00BLBP4Y22"/>
    <s v="Sell"/>
    <d v="2020-02-21T00:00:00.000"/>
    <d v="2019-02-19T00:00:00.000"/>
    <s v="N+1"/>
    <x v="4"/>
    <s v="ops@NPlus1Singer.com"/>
    <n v="20000"/>
    <n v="4.21"/>
    <n v="-84200"/>
    <n v="-217.14000000000001"/>
    <n v="-84417.14"/>
    <m/>
  </r>
  <r>
    <x v="1"/>
    <s v="BE HEARD ORD GBP0.01 "/>
    <s v="GB00BT6SJV45"/>
    <s v="Buy"/>
    <d v="2019-03-01T00:00:00.000"/>
    <d v="2019-03-05T00:00:00.000"/>
    <s v="N+1"/>
    <x v="4"/>
    <s v="CAFZ-Equities_PET@cantor.co.uk"/>
    <n v="1286610"/>
    <n v="0.01"/>
    <n v="-12866.1"/>
    <n v="-26.74"/>
    <n v="-12892.84"/>
    <m/>
  </r>
  <r>
    <x v="1"/>
    <s v="BE HEARD ORD GBP0.01 "/>
    <s v="GB00BT6SJV45"/>
    <s v="Buy"/>
    <d v="2019-03-12T00:00:00.000"/>
    <d v="2019-03-08T00:00:00.000"/>
    <s v="CAFZ"/>
    <x v="5"/>
    <s v="CAFZ-Equities_PET@cantor.co.uk"/>
    <n v="18403912"/>
    <n v="0.0105"/>
    <n v="-193241.076"/>
    <n v="-387.48"/>
    <n v="-193628.556"/>
    <m/>
  </r>
  <r>
    <x v="1"/>
    <s v="BE HEARD ORD GBP0.01 "/>
    <s v="GB00BT6SJV45"/>
    <s v="Buy"/>
    <d v="2019-03-19T00:00:00.000"/>
    <d v="2019-03-15T00:00:00.000"/>
    <s v="CAFZ"/>
    <x v="5"/>
    <s v="CAFZ-Equities_PET@cantor.co.uk"/>
    <n v="1264860"/>
    <n v="0.0105"/>
    <n v="-13281.03"/>
    <n v="-27.57"/>
    <n v="-13308.6"/>
    <m/>
  </r>
  <r>
    <x v="1"/>
    <s v="BE HEARD ORD GBP0.01 "/>
    <s v="GB00BT6SJV45"/>
    <s v="Buy"/>
    <d v="2019-03-19T00:00:00.000"/>
    <d v="2019-03-15T00:00:00.000"/>
    <s v="N+1"/>
    <x v="4"/>
    <s v="CAFZ-Equities_PET@cantor.co.uk"/>
    <n v="1433507"/>
    <n v="0.01028"/>
    <n v="-14736.451959999999"/>
    <n v="-30.47"/>
    <n v="-14766.921959999998"/>
    <m/>
  </r>
  <r>
    <x v="1"/>
    <s v="BE HEARD ORD GBP0.01 "/>
    <s v="GB00BT6SJV45"/>
    <s v="Buy"/>
    <d v="2019-03-21T00:00:00.000"/>
    <d v="2019-03-19T00:00:00.000"/>
    <s v="N+1"/>
    <x v="4"/>
    <s v="CAFZ-Equities_PET@cantor.co.uk"/>
    <n v="499643"/>
    <n v="0.011452"/>
    <n v="-5721.911636"/>
    <n v="-11.44"/>
    <n v="-5733.351635999999"/>
    <m/>
  </r>
  <r>
    <x v="1"/>
    <s v="BE HEARD ORD GBP0.01 "/>
    <s v="GB00BT6SJV45"/>
    <s v="Buy"/>
    <d v="2019-04-02T00:00:00.000"/>
    <d v="2019-03-29T00:00:00.000"/>
    <s v="CAFZ"/>
    <x v="5"/>
    <s v="CAFZ-Equities_PET@cantor.co.uk"/>
    <n v="6169057"/>
    <n v="0.0115"/>
    <n v="-70944.1555"/>
    <n v="-142.89"/>
    <n v="-71087.0455"/>
    <m/>
  </r>
  <r>
    <x v="1"/>
    <s v="BE HEARD ORD GBP0.01 "/>
    <s v="GB00BT6SJV45"/>
    <s v="Buy"/>
    <d v="2019-04-04T00:00:00.000"/>
    <d v="2019-04-02T00:00:00.000"/>
    <s v="CAFZ"/>
    <x v="5"/>
    <s v="CAFZ-Equities_PET@cantor.co.uk"/>
    <n v="2653835"/>
    <n v="0.0115"/>
    <n v="-30519.1025"/>
    <n v="-62.04"/>
    <n v="-30581.1425"/>
    <m/>
  </r>
  <r>
    <x v="1"/>
    <s v="PRESSURE TECH ORD 5P "/>
    <s v="GB00B1XFKR57"/>
    <s v="Buy"/>
    <d v="2019-03-26T00:00:00.000"/>
    <d v="2019-03-22T00:00:00.000"/>
    <s v="CAFZ"/>
    <x v="4"/>
    <s v="ops@NPlus1Singer.com"/>
    <n v="1025817"/>
    <n v="0.8"/>
    <n v="-820653.6000000001"/>
    <n v="-1642.31"/>
    <n v="-822295.9100000001"/>
    <m/>
  </r>
  <r>
    <x v="1"/>
    <s v="PRESSURE TECH ORD 5P "/>
    <s v="GB00B1XFKR57"/>
    <s v="Buy"/>
    <d v="2019-05-01T00:00:00.000"/>
    <d v="2019-04-29T00:00:00.000"/>
    <s v="CAFZ"/>
    <x v="4"/>
    <s v="ops@NPlus1Singer.com"/>
    <n v="1780329"/>
    <n v="0.84"/>
    <n v="-1495476.3599999999"/>
    <n v="-2991.95"/>
    <n v="-1498468.3099999998"/>
    <m/>
  </r>
  <r>
    <x v="1"/>
    <s v="FULCRUM UTILITY ORD 0.1P (DI) "/>
    <s v="KYG368851047"/>
    <s v="Buy"/>
    <d v="2019-11-27T00:00:00.000"/>
    <d v="2019-11-25T00:00:00.000"/>
    <s v="N+1"/>
    <x v="4"/>
    <s v="ops@NPlus1Singer.com"/>
    <n v="437000"/>
    <n v="0.265"/>
    <n v="-115805"/>
    <n v="-280.38"/>
    <n v="-116085.38"/>
    <m/>
  </r>
  <r>
    <x v="1"/>
    <s v="FULCRUM UTILITY ORD 0.1P (DI) "/>
    <s v="KYG368851047"/>
    <s v="Buy"/>
    <d v="2019-12-03T00:00:00.000"/>
    <d v="2019-11-29T00:00:00.000"/>
    <s v="N+1"/>
    <x v="4"/>
    <s v="ops@NPlus1Singer.com"/>
    <n v="463000"/>
    <n v="0.264367"/>
    <n v="-122401.921"/>
    <n v="-293.40000000000003"/>
    <n v="-122695.321"/>
    <m/>
  </r>
  <r>
    <x v="1"/>
    <s v="FULCRUM UTILITY ORD 0.1P (DI) "/>
    <s v="KYG368851047"/>
    <s v="Buy"/>
    <d v="2019-12-05T00:00:00.000"/>
    <d v="2019-12-03T00:00:00.000"/>
    <s v="N+1"/>
    <x v="4"/>
    <s v="ops@NPlus1Singer.com"/>
    <n v="450000"/>
    <n v="0.265"/>
    <n v="-119250"/>
    <n v="-286.87"/>
    <n v="-119536.87"/>
    <m/>
  </r>
  <r>
    <x v="1"/>
    <s v="FULCRUM UTILITY ORD 0.1P (DI) "/>
    <s v="KYG368851047"/>
    <s v="Buy"/>
    <d v="2019-12-10T00:00:00.000"/>
    <d v="2019-12-06T00:00:00.000"/>
    <s v="N+1"/>
    <x v="4"/>
    <s v="ops@NPlus1Singer.com"/>
    <n v="100000"/>
    <n v="0.2575"/>
    <n v="-25750"/>
    <n v="-99.45"/>
    <n v="-25849.45"/>
    <m/>
  </r>
  <r>
    <x v="1"/>
    <s v="FULCRUM UTILITY ORD 0.1P (DI) "/>
    <s v="KYG368851047"/>
    <s v="Buy"/>
    <d v="2019-12-12T00:00:00.000"/>
    <d v="2019-12-10T00:00:00.000"/>
    <s v="N+1"/>
    <x v="4"/>
    <s v="ops@NPlus1Singer.com"/>
    <n v="400000"/>
    <n v="0.254388"/>
    <n v="-101755.2"/>
    <n v="-251.67"/>
    <n v="-102006.87"/>
    <m/>
  </r>
  <r>
    <x v="1"/>
    <s v="ULS TECH"/>
    <s v="GB00BNG8T458"/>
    <s v="Buy"/>
    <d v="2019-12-10T00:00:00.000"/>
    <d v="2019-12-06T00:00:00.000"/>
    <s v="NUMS"/>
    <x v="6"/>
    <s v="middleoffice@numis.com"/>
    <n v="1100000"/>
    <n v="0.45"/>
    <n v="-495000"/>
    <n v="-1038.95"/>
    <n v="-496038.95"/>
    <m/>
  </r>
  <r>
    <x v="1"/>
    <s v="ULS TECH"/>
    <s v="GB00BNG8T458"/>
    <s v="Buy"/>
    <d v="2019-12-17T00:00:00.000"/>
    <d v="2019-12-13T00:00:00.000"/>
    <s v="WBS"/>
    <x v="3"/>
    <s v="mark.cooper@winterflood.com"/>
    <n v="580000"/>
    <n v="0.515"/>
    <n v="-298700"/>
    <n v="-645.88"/>
    <n v="-299345.88"/>
    <m/>
  </r>
  <r>
    <x v="1"/>
    <s v="Quarto Group Inc."/>
    <s v="US74772E1001"/>
    <s v="Sell"/>
    <d v="2019-06-10T00:00:00.000"/>
    <d v="2019-06-06T00:00:00.000"/>
    <s v="STK"/>
    <x v="1"/>
    <s v="richard.johnson@stockdalesecurities.com"/>
    <n v="483967"/>
    <n v="0.63"/>
    <n v="-304899.21"/>
    <n v="-609.8"/>
    <n v="-305509.01"/>
    <m/>
  </r>
  <r>
    <x v="1"/>
    <s v="Quarto Group Inc."/>
    <s v="US74772E1001"/>
    <s v="Sell"/>
    <d v="2019-07-02T00:00:00.000"/>
    <d v="2019-06-28T00:00:00.000"/>
    <s v="STK"/>
    <x v="2"/>
    <s v="settlements@shorecap.co.uk"/>
    <n v="414870"/>
    <n v="0.63"/>
    <n v="-261368.1"/>
    <n v="-522.74"/>
    <n v="-261890.84"/>
    <m/>
  </r>
  <r>
    <x v="1"/>
    <s v="PROPHOTONIX LTD"/>
    <s v="US7434651060"/>
    <s v="Sell"/>
    <d v="2019-05-29T00:00:00.000"/>
    <d v="2019-05-24T00:00:00.000"/>
    <s v="CAFZ"/>
    <x v="5"/>
    <s v="CAFZ-Equities_PET@cantor.co.uk"/>
    <n v="4993492"/>
    <n v="0.0272"/>
    <n v="-135822.98239999998"/>
    <n v="-271.65"/>
    <n v="-136094.63239999997"/>
    <m/>
  </r>
  <r>
    <x v="1"/>
    <s v="HYDRODEC"/>
    <s v="GB00BFD2QZ40"/>
    <s v="Sell"/>
    <d v="2019-10-02T00:00:00.000"/>
    <d v="2019-09-30T00:00:00.000"/>
    <s v="WBS"/>
    <x v="3"/>
    <s v="mark.cooper@winterflood.com"/>
    <n v="1200000"/>
    <n v="0.09"/>
    <n v="-108000"/>
    <n v="-267.53"/>
    <n v="-108267.53"/>
    <m/>
  </r>
  <r>
    <x v="2"/>
    <s v="NORTHBRIDGE IND ORD 10P "/>
    <s v="GB00B0SPFW38"/>
    <s v="Buy"/>
    <d v="2019-03-22T00:00:00.000"/>
    <d v="2019-03-26T00:00:00.000"/>
    <s v="CAFZ"/>
    <x v="4"/>
    <s v="ops@NPlus1Singer.com"/>
    <n v="1580"/>
    <n v="1.25"/>
    <n v="-1975"/>
    <n v="-3.95"/>
    <n v="-1978.95"/>
    <m/>
  </r>
  <r>
    <x v="2"/>
    <s v="NORTHBRIDGE IND ORD 10P "/>
    <s v="GB00B0SPFW38"/>
    <s v="Buy"/>
    <d v="2019-03-29T00:00:00.000"/>
    <d v="2019-04-02T00:00:00.000"/>
    <s v="CAFZ"/>
    <x v="5"/>
    <s v="CAFZ-Equities_PET@cantor.co.uk"/>
    <n v="4669"/>
    <n v="1.319565"/>
    <n v="-6161.048985"/>
    <n v="-12.32"/>
    <n v="-6173.368985"/>
    <m/>
  </r>
  <r>
    <x v="2"/>
    <s v="NORTHBRIDGE IND ORD 10P "/>
    <s v="GB00B0SPFW38"/>
    <s v="Buy"/>
    <d v="2019-04-05T00:00:00.000"/>
    <d v="2019-04-09T00:00:00.000"/>
    <s v="CAFZ"/>
    <x v="5"/>
    <s v="CAFZ-Equities_PET@cantor.co.uk"/>
    <n v="2842"/>
    <n v="1.35"/>
    <n v="-3836.7000000000003"/>
    <n v="-7.67"/>
    <n v="-3844.3700000000003"/>
    <m/>
  </r>
  <r>
    <x v="2"/>
    <s v="NORTHBRIDGE IND ORD 10P "/>
    <s v="GB00B0SPFW38"/>
    <s v="Buy"/>
    <d v="2019-10-10T00:00:00.000"/>
    <d v="2019-10-14T00:00:00.000"/>
    <s v="CAFZ"/>
    <x v="5"/>
    <s v="CAFZ-Equities_PET@cantor.co.uk"/>
    <n v="76775"/>
    <n v="1.1"/>
    <n v="-84452.5"/>
    <n v="-220.01000000000002"/>
    <n v="-84672.51"/>
    <m/>
  </r>
  <r>
    <x v="2"/>
    <s v="NORTHBRIDGE IND ORD 10P "/>
    <s v="GB00B0SPFW38"/>
    <s v="Buy"/>
    <d v="2019-10-17T00:00:00.000"/>
    <d v="2019-10-21T00:00:00.000"/>
    <s v="Shore Capital"/>
    <x v="2"/>
    <s v="settlements@shorecap.co.uk"/>
    <n v="82631"/>
    <n v="1.11"/>
    <n v="-91720.41"/>
    <n v="-233.63"/>
    <n v="-91954.04000000001"/>
    <m/>
  </r>
  <r>
    <x v="2"/>
    <s v="IMIMOBILE ORD "/>
    <s v="GB00BLBP4Y22"/>
    <s v="Buy"/>
    <d v="2019-02-20T00:00:00.000"/>
    <d v="2019-02-22T00:00:00.000"/>
    <s v="CAFZ"/>
    <x v="4"/>
    <s v="ops@NPlus1Singer.com"/>
    <n v="157234"/>
    <n v="2.2"/>
    <n v="-345914.80000000005"/>
    <n v="-692.83"/>
    <n v="-346607.63000000006"/>
    <m/>
  </r>
  <r>
    <x v="2"/>
    <s v="IMIMOBILE ORD "/>
    <s v="GB00BLBP4Y22"/>
    <s v="Sell"/>
    <d v="2019-07-15T00:00:00.000"/>
    <d v="2019-07-17T00:00:00.000"/>
    <s v="WBS"/>
    <x v="3"/>
    <s v="mark.cooper@winterflood.com"/>
    <n v="217485"/>
    <n v="3.25"/>
    <n v="-706826.25"/>
    <n v="-1414.65"/>
    <n v="-708240.9"/>
    <m/>
  </r>
  <r>
    <x v="2"/>
    <s v="IMIMOBILE ORD "/>
    <s v="GB00BLBP4Y22"/>
    <s v="Sell"/>
    <d v="2019-09-06T00:00:00.000"/>
    <d v="2019-09-10T00:00:00.000"/>
    <s v="WBS"/>
    <x v="3"/>
    <s v="mark.cooper@winterflood.com"/>
    <n v="9361"/>
    <n v="3.3265624"/>
    <n v="-31139.950626399997"/>
    <n v="-114.23"/>
    <n v="-31254.180626399997"/>
    <m/>
  </r>
  <r>
    <x v="2"/>
    <s v="IMIMOBILE ORD "/>
    <s v="GB00BLBP4Y22"/>
    <s v="Sell"/>
    <d v="2019-11-27T00:00:00.000"/>
    <d v="2019-11-29T00:00:00.000"/>
    <s v="WBS"/>
    <x v="3"/>
    <s v="mark.cooper@winterflood.com"/>
    <n v="33105"/>
    <n v="3.205"/>
    <n v="-106101.52500000001"/>
    <n v="-261.72999999999996"/>
    <n v="-106363.255"/>
    <m/>
  </r>
  <r>
    <x v="2"/>
    <s v="IMIMOBILE ORD "/>
    <s v="GB00BLBP4Y22"/>
    <s v="Sell"/>
    <d v="2019-11-28T00:00:00.000"/>
    <d v="2019-12-02T00:00:00.000"/>
    <s v="WBS"/>
    <x v="3"/>
    <s v="mark.cooper@winterflood.com"/>
    <n v="64792"/>
    <n v="3.205"/>
    <n v="-207658.36000000002"/>
    <n v="-464.94"/>
    <n v="-208123.30000000002"/>
    <m/>
  </r>
  <r>
    <x v="2"/>
    <s v="IMIMOBILE ORD "/>
    <s v="GB00BLBP4Y22"/>
    <s v="Sell"/>
    <d v="2019-12-04T00:00:00.000"/>
    <d v="2019-12-06T00:00:00.000"/>
    <s v="WBS"/>
    <x v="3"/>
    <s v="mark.cooper@winterflood.com"/>
    <n v="46941"/>
    <n v="3.2351"/>
    <n v="-151858.8291"/>
    <n v="-352.87000000000006"/>
    <n v="-152211.6991"/>
    <m/>
  </r>
  <r>
    <x v="2"/>
    <s v="IMIMOBILE ORD "/>
    <s v="GB00BLBP4Y22"/>
    <s v="Sell"/>
    <d v="2019-12-09T00:00:00.000"/>
    <d v="2019-12-11T00:00:00.000"/>
    <s v="N+1"/>
    <x v="4"/>
    <s v="ops@NPlus1Singer.com"/>
    <n v="7212"/>
    <n v="3.24"/>
    <n v="-23366.88"/>
    <n v="-95.88999999999999"/>
    <n v="-23462.77"/>
    <m/>
  </r>
  <r>
    <x v="2"/>
    <s v="IMIMOBILE ORD "/>
    <s v="GB00BLBP4Y22"/>
    <s v="Sell"/>
    <d v="2019-12-12T00:00:00.000"/>
    <d v="2019-12-16T00:00:00.000"/>
    <s v="WBS"/>
    <x v="3"/>
    <s v="mark.cooper@winterflood.com"/>
    <n v="11017"/>
    <n v="3.24"/>
    <n v="-35695.08"/>
    <n v="-119.89"/>
    <n v="-35814.97"/>
    <m/>
  </r>
  <r>
    <x v="2"/>
    <s v="IMIMOBILE ORD "/>
    <s v="GB00BLBP4Y22"/>
    <s v="Sell"/>
    <d v="2019-12-18T00:00:00.000"/>
    <d v="2019-12-20T00:00:00.000"/>
    <s v="WBS"/>
    <x v="3"/>
    <s v="mark.cooper@winterflood.com"/>
    <n v="32812"/>
    <n v="3.14"/>
    <n v="-103029.68000000001"/>
    <n v="255.62"/>
    <n v="-103285.3"/>
    <m/>
  </r>
  <r>
    <x v="2"/>
    <s v="IMIMOBILE ORD "/>
    <s v="GB00BLBP4Y22"/>
    <s v="Sell"/>
    <d v="2019-12-19T00:00:00.000"/>
    <d v="2019-12-23T00:00:00.000"/>
    <s v="WBS"/>
    <x v="3"/>
    <s v="mark.cooper@winterflood.com"/>
    <n v="82855"/>
    <n v="3.14"/>
    <n v="-260164.7"/>
    <n v="569.84"/>
    <n v="-260734.54"/>
    <m/>
  </r>
  <r>
    <x v="2"/>
    <s v="BE Heard ORD"/>
    <s v="GB00BT6SJV45"/>
    <s v="Buy"/>
    <s v="15/02/1019"/>
    <d v="2019-02-19T00:00:00.000"/>
    <s v="CAFZ"/>
    <x v="5"/>
    <s v="CAFZ-Equities_PET@cantor.co.uk"/>
    <n v="1144979"/>
    <n v="0.01"/>
    <n v="-11449.79"/>
    <n v="-23.9"/>
    <n v="-11473.69"/>
    <m/>
  </r>
  <r>
    <x v="2"/>
    <s v="BE Heard ORD"/>
    <s v="GB00BT6SJV45"/>
    <s v="Buy"/>
    <d v="2019-03-01T00:00:00.000"/>
    <d v="2019-03-05T00:00:00.000"/>
    <s v="CAFZ"/>
    <x v="4"/>
    <s v="ops@NPlus1Singer.com"/>
    <n v="623164"/>
    <n v="0.01"/>
    <n v="-6231.64"/>
    <n v="-13.46"/>
    <n v="-6245.1"/>
    <m/>
  </r>
  <r>
    <x v="2"/>
    <s v="BE Heard ORD"/>
    <s v="GB00BT6SJV45"/>
    <s v="Buy"/>
    <d v="2019-03-08T00:00:00.000"/>
    <d v="2019-03-12T00:00:00.000"/>
    <s v="CAFZ"/>
    <x v="5"/>
    <s v="CAFZ-Equities_PET@cantor.co.uk"/>
    <n v="4525571"/>
    <n v="0.0105"/>
    <n v="-47518.495500000005"/>
    <n v="-96.04"/>
    <n v="-47614.535500000005"/>
    <m/>
  </r>
  <r>
    <x v="2"/>
    <s v="BE Heard ORD"/>
    <s v="GB00BT6SJV45"/>
    <s v="Buy"/>
    <d v="2019-03-15T00:00:00.000"/>
    <d v="2019-03-19T00:00:00.000"/>
    <s v="CAFZ"/>
    <x v="5"/>
    <s v="CAFZ-Equities_PET@cantor.co.uk"/>
    <n v="205401"/>
    <n v="0.0105"/>
    <n v="-2156.7105"/>
    <n v="-5.31"/>
    <n v="-2162.0205"/>
    <m/>
  </r>
  <r>
    <x v="2"/>
    <s v="BE Heard ORD"/>
    <s v="GB00BT6SJV45"/>
    <s v="Buy"/>
    <d v="2019-03-15T00:00:00.000"/>
    <d v="2019-03-19T00:00:00.000"/>
    <s v="CAFZ"/>
    <x v="4"/>
    <s v="ops@NPlus1Singer.com"/>
    <n v="232788"/>
    <n v="0.01028"/>
    <n v="-2393.0606399999997"/>
    <n v="-5.79"/>
    <n v="-2398.8506399999997"/>
    <m/>
  </r>
  <r>
    <x v="2"/>
    <s v="BE Heard ORD"/>
    <s v="GB00BT6SJV45"/>
    <s v="Buy"/>
    <d v="2019-03-19T00:00:00.000"/>
    <d v="2019-03-21T00:00:00.000"/>
    <s v="CAFZ"/>
    <x v="4"/>
    <s v="ops@NPlus1Singer.com"/>
    <n v="690173"/>
    <n v="0.011452"/>
    <n v="-7903.861196"/>
    <n v="-15.81"/>
    <n v="-7919.671196"/>
    <m/>
  </r>
  <r>
    <x v="2"/>
    <s v="BE Heard ORD"/>
    <s v="GB00BT6SJV45"/>
    <s v="Buy"/>
    <d v="2019-03-29T00:00:00.000"/>
    <d v="2019-04-02T00:00:00.000"/>
    <s v="CAFZ"/>
    <x v="5"/>
    <s v="CAFZ-Equities_PET@cantor.co.uk"/>
    <n v="725849"/>
    <n v="0.0115"/>
    <n v="-8347.2635"/>
    <n v="-16.69"/>
    <n v="-8363.9535"/>
    <m/>
  </r>
  <r>
    <x v="2"/>
    <s v="BE Heard ORD"/>
    <s v="GB00BT6SJV45"/>
    <s v="Buy"/>
    <d v="2019-04-02T00:00:00.000"/>
    <d v="2019-04-04T00:00:00.000"/>
    <s v="CAFZ"/>
    <x v="5"/>
    <s v="CAFZ-Equities_PET@cantor.co.uk"/>
    <n v="302384"/>
    <n v="0.0115"/>
    <n v="-3477.416"/>
    <n v="-6.95"/>
    <n v="-3484.366"/>
    <m/>
  </r>
  <r>
    <x v="2"/>
    <s v="PRESSURE TECH ORD 5P "/>
    <s v="GB00B1XFKR57"/>
    <s v="Buy"/>
    <d v="2019-03-22T00:00:00.000"/>
    <d v="2019-03-26T00:00:00.000"/>
    <s v="CAFZ"/>
    <x v="4"/>
    <s v="ops@NPlus1Singer.com"/>
    <n v="239506"/>
    <n v="0.8"/>
    <n v="-191604.80000000002"/>
    <n v="-384.21"/>
    <n v="-191989.01"/>
    <m/>
  </r>
  <r>
    <x v="2"/>
    <s v="PRESSURE TECH ORD 5P "/>
    <s v="GB00B1XFKR57"/>
    <s v="Buy"/>
    <d v="2019-04-29T00:00:00.000"/>
    <d v="2019-05-01T00:00:00.000"/>
    <s v="CAFZ"/>
    <x v="4"/>
    <s v="ops@NPlus1Singer.com"/>
    <n v="497622"/>
    <n v="0.84"/>
    <n v="-418002.48"/>
    <n v="-837.01"/>
    <n v="-418839.49"/>
    <m/>
  </r>
  <r>
    <x v="2"/>
    <s v="CENTAUR ORD 10P"/>
    <s v="GB0034291418"/>
    <s v="Buy"/>
    <d v="2019-12-12T00:00:00.000"/>
    <d v="2019-12-16T00:00:00.000"/>
    <s v="NUMIS"/>
    <x v="8"/>
    <s v="middleoffice@numis.com"/>
    <n v="1485052"/>
    <n v="0.355"/>
    <n v="-527193.46"/>
    <n v="-3744.13"/>
    <n v="-530937.59"/>
    <m/>
  </r>
  <r>
    <x v="2"/>
    <s v="CENTAUR ORD 10P"/>
    <s v="GB0034291418"/>
    <s v="Buy"/>
    <d v="2019-12-12T00:00:00.000"/>
    <d v="2019-12-16T00:00:00.000"/>
    <s v="NUMIS"/>
    <x v="8"/>
    <s v="middleoffice@numis.com"/>
    <n v="63095"/>
    <n v="0.355"/>
    <n v="-22398.725"/>
    <n v="206.53"/>
    <n v="-22605.25499999999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4">
  <r>
    <x v="0"/>
    <n v="1"/>
    <n v="100039"/>
    <s v="Cloudcall Group plc"/>
    <x v="0"/>
    <s v="Quoted"/>
    <s v="n/a"/>
    <d v="2019-02-01T00:00:00.000"/>
    <d v="2019-02-05T00:00:00.000"/>
    <s v="Qualifying"/>
    <s v="Investment"/>
    <n v="144000"/>
    <n v="144000"/>
    <n v="1"/>
    <n v="144000"/>
    <s v=""/>
    <s v=""/>
    <s v=""/>
  </r>
  <r>
    <x v="1"/>
    <n v="2"/>
    <n v="100051"/>
    <s v="Diaceutics plc"/>
    <x v="0"/>
    <s v="Quoted"/>
    <s v="n/a"/>
    <d v="2019-03-18T00:00:00.000"/>
    <d v="2019-03-20T00:00:00.000"/>
    <s v="Qualifying"/>
    <s v="Investment"/>
    <n v="1855325"/>
    <n v="1410047"/>
    <n v="0.76"/>
    <n v="1410047"/>
    <s v=""/>
    <s v=""/>
    <s v=""/>
  </r>
  <r>
    <x v="2"/>
    <n v="3"/>
    <n v="100022"/>
    <s v="Bioventix plc"/>
    <x v="0"/>
    <s v="Quoted"/>
    <s v="n/a"/>
    <d v="2019-05-01T00:00:00.000"/>
    <d v="2019-05-03T00:00:00.000"/>
    <s v="Non-Qualifying"/>
    <s v="Divestment"/>
    <n v="9900"/>
    <n v="-25946.04"/>
    <n v="2.620812121212121"/>
    <n v="-395207"/>
    <n v="39.91989898989899"/>
    <n v="15.231881242763828"/>
    <n v="369260.96"/>
  </r>
  <r>
    <x v="3"/>
    <n v="4"/>
    <n v="100022"/>
    <s v="Bioventix plc"/>
    <x v="0"/>
    <s v="Quoted"/>
    <s v="n/a"/>
    <d v="2019-05-17T00:00:00.000"/>
    <d v="2019-05-21T00:00:00.000"/>
    <s v="Non-Qualifying"/>
    <s v="Divestment"/>
    <n v="11250"/>
    <n v="-29484.13"/>
    <n v="2.6208115555555556"/>
    <n v="-439555.62"/>
    <n v="39.071610666666665"/>
    <n v="14.908210620425292"/>
    <n v="410071.49"/>
  </r>
  <r>
    <x v="3"/>
    <n v="5"/>
    <n v="100022"/>
    <s v="Bioventix plc"/>
    <x v="0"/>
    <s v="Quoted"/>
    <s v="n/a"/>
    <d v="2019-05-20T00:00:00.000"/>
    <d v="2019-05-22T00:00:00.000"/>
    <s v="Non-Qualifying"/>
    <s v="Divestment"/>
    <n v="18000"/>
    <n v="-47174.61"/>
    <n v="2.6208116666666665"/>
    <n v="-703289.6"/>
    <n v="39.071644444444445"/>
    <n v="14.90822287667031"/>
    <n v="656114.99"/>
  </r>
  <r>
    <x v="1"/>
    <n v="6"/>
    <n v="100042"/>
    <s v="Collagen Solutions plc"/>
    <x v="0"/>
    <s v="Quoted"/>
    <s v="n/a"/>
    <d v="2019-05-20T00:00:00.000"/>
    <d v="2019-06-04T00:00:00.000"/>
    <s v="Qualifying"/>
    <s v="Investment"/>
    <n v="2268000"/>
    <n v="113400"/>
    <n v="0.05"/>
    <n v="113400"/>
    <s v=""/>
    <s v=""/>
    <s v=""/>
  </r>
  <r>
    <x v="2"/>
    <n v="7"/>
    <n v="100022"/>
    <s v="Bioventix plc"/>
    <x v="0"/>
    <s v="Quoted"/>
    <s v="n/a"/>
    <d v="2019-05-22T00:00:00.000"/>
    <d v="2019-05-24T00:00:00.000"/>
    <s v="Non-Qualifying"/>
    <s v="Divestment"/>
    <n v="11925"/>
    <n v="-31253.18"/>
    <n v="2.620811740041929"/>
    <n v="-465929.02"/>
    <n v="39.07161593291405"/>
    <n v="14.90821158038958"/>
    <n v="434675.84"/>
  </r>
  <r>
    <x v="2"/>
    <n v="8"/>
    <n v="100137"/>
    <s v="STM Group plc"/>
    <x v="0"/>
    <s v="Quoted"/>
    <s v="n/a"/>
    <d v="2019-09-12T00:00:00.000"/>
    <d v="2019-09-16T00:00:00.000"/>
    <s v="Non-Qualifying"/>
    <s v="Divestment"/>
    <n v="254511"/>
    <n v="-122047.73"/>
    <n v="0.4795381339116973"/>
    <n v="-106979.81"/>
    <n v="0.42033472030678437"/>
    <n v="0.8765407599141746"/>
    <n v="-15067.919999999998"/>
  </r>
  <r>
    <x v="2"/>
    <n v="11"/>
    <n v="100137"/>
    <s v="STM Group plc"/>
    <x v="0"/>
    <s v="Quoted"/>
    <s v="n/a"/>
    <d v="2019-09-20T00:00:00.000"/>
    <d v="2019-09-24T00:00:00.000"/>
    <s v="Non-Qualifying"/>
    <s v="Divestment"/>
    <n v="3181"/>
    <n v="-1525.41"/>
    <n v="0.47953788116944357"/>
    <n v="-1412.72"/>
    <n v="0.44411191449229803"/>
    <n v="0.9261247795674605"/>
    <n v="-112.69000000000005"/>
  </r>
  <r>
    <x v="4"/>
    <n v="12"/>
    <n v="100249"/>
    <s v="Entertainment AI plc"/>
    <x v="0"/>
    <s v="Quoted"/>
    <s v="n/a"/>
    <d v="2019-09-27T00:00:00.000"/>
    <d v="2019-09-30T00:00:00.000"/>
    <s v="Qualifying"/>
    <s v="Investment"/>
    <n v="3133333"/>
    <n v="1409999.85"/>
    <n v="0.45"/>
    <n v="1409999.85"/>
    <s v=""/>
    <s v=""/>
    <s v=""/>
  </r>
  <r>
    <x v="5"/>
    <n v="13"/>
    <n v="100039"/>
    <s v="Cloudcall Group plc"/>
    <x v="0"/>
    <s v="Quoted"/>
    <s v="n/a"/>
    <d v="2019-09-30T00:00:00.000"/>
    <d v="2019-10-20T00:00:00.000"/>
    <s v="Qualifying"/>
    <s v="Investment"/>
    <n v="715500"/>
    <n v="715500"/>
    <n v="1"/>
    <n v="715500"/>
    <s v=""/>
    <s v=""/>
    <s v=""/>
  </r>
  <r>
    <x v="3"/>
    <n v="16"/>
    <n v="100024"/>
    <s v="Brady plc"/>
    <x v="0"/>
    <s v="Quoted"/>
    <s v="n/a"/>
    <d v="2019-10-04T00:00:00.000"/>
    <d v="2019-10-08T00:00:00.000"/>
    <s v="Qualifying"/>
    <s v="Divestment"/>
    <n v="595000"/>
    <n v="-351050"/>
    <n v="0.59"/>
    <n v="-11875.2"/>
    <n v="0.019958319327731094"/>
    <n v="0.03382765987751033"/>
    <n v="-339174.8"/>
  </r>
  <r>
    <x v="5"/>
    <n v="17"/>
    <n v="100072"/>
    <s v="Ideagen plc"/>
    <x v="0"/>
    <s v="Quoted"/>
    <s v="n/a"/>
    <d v="2019-10-07T00:00:00.000"/>
    <d v="2019-10-09T00:00:00.000"/>
    <s v="Non-Qualifying"/>
    <s v="Divestment"/>
    <n v="247500"/>
    <n v="-84150"/>
    <n v="0.34"/>
    <n v="-360626.3"/>
    <n v="1.4570759595959595"/>
    <n v="4.28551752822341"/>
    <n v="276476.3"/>
  </r>
  <r>
    <x v="5"/>
    <n v="18"/>
    <n v="100072"/>
    <s v="Ideagen plc"/>
    <x v="0"/>
    <s v="Quoted"/>
    <s v="n/a"/>
    <d v="2019-10-08T00:00:00.000"/>
    <d v="2019-10-10T00:00:00.000"/>
    <s v="Non-Qualifying"/>
    <s v="Divestment"/>
    <n v="45000"/>
    <n v="-15300"/>
    <n v="0.34"/>
    <n v="-66241.25"/>
    <n v="1.4720277777777777"/>
    <n v="4.3294934640522875"/>
    <n v="50941.25"/>
  </r>
  <r>
    <x v="5"/>
    <n v="19"/>
    <n v="100072"/>
    <s v="Ideagen plc"/>
    <x v="0"/>
    <s v="Quoted"/>
    <s v="n/a"/>
    <d v="2019-10-09T00:00:00.000"/>
    <d v="2019-10-11T00:00:00.000"/>
    <s v="Non-Qualifying"/>
    <s v="Divestment"/>
    <n v="22500"/>
    <n v="-7650"/>
    <n v="0.34"/>
    <n v="-33120.13"/>
    <n v="1.4720057777777777"/>
    <n v="4.329428758169934"/>
    <n v="25470.129999999997"/>
  </r>
  <r>
    <x v="5"/>
    <n v="20"/>
    <n v="100072"/>
    <s v="Ideagen plc"/>
    <x v="0"/>
    <s v="Quoted"/>
    <s v="n/a"/>
    <d v="2019-10-10T00:00:00.000"/>
    <d v="2019-10-14T00:00:00.000"/>
    <s v="Non-Qualifying"/>
    <s v="Divestment"/>
    <n v="21150"/>
    <n v="-7191"/>
    <n v="0.34"/>
    <n v="-31540.24"/>
    <n v="1.4912643026004728"/>
    <n v="4.386071478236685"/>
    <n v="24349.24"/>
  </r>
  <r>
    <x v="5"/>
    <n v="21"/>
    <n v="100072"/>
    <s v="Ideagen plc"/>
    <x v="0"/>
    <s v="Quoted"/>
    <s v="n/a"/>
    <d v="2019-10-11T00:00:00.000"/>
    <d v="2019-10-15T00:00:00.000"/>
    <s v="Non-Qualifying"/>
    <s v="Divestment"/>
    <n v="18000"/>
    <n v="-6120"/>
    <n v="0.34"/>
    <n v="-26788.71"/>
    <n v="1.4882616666666666"/>
    <n v="4.377240196078431"/>
    <n v="20668.71"/>
  </r>
  <r>
    <x v="2"/>
    <n v="23"/>
    <n v="100072"/>
    <s v="Ideagen plc"/>
    <x v="0"/>
    <s v="Quoted"/>
    <s v="n/a"/>
    <d v="2019-10-17T00:00:00.000"/>
    <d v="2019-10-21T00:00:00.000"/>
    <s v="Qualifying"/>
    <s v="Divestment"/>
    <n v="838282"/>
    <n v="-241713.36"/>
    <n v="0.28834373158435944"/>
    <n v="-1233992.02"/>
    <n v="1.4720488093505526"/>
    <n v="5.105187483223931"/>
    <n v="992278.66"/>
  </r>
  <r>
    <x v="2"/>
    <n v="24"/>
    <n v="100137"/>
    <s v="STM Group plc"/>
    <x v="0"/>
    <s v="Quoted"/>
    <s v="n/a"/>
    <d v="2019-10-18T00:00:00.000"/>
    <d v="2019-10-22T00:00:00.000"/>
    <s v="Non-Qualifying"/>
    <s v="Divestment"/>
    <n v="118984"/>
    <n v="-57057.37"/>
    <n v="0.479538173199758"/>
    <n v="-51059.79"/>
    <n v="0.4291315639077523"/>
    <n v="0.8948850954749579"/>
    <n v="-5997.580000000002"/>
  </r>
  <r>
    <x v="2"/>
    <n v="25"/>
    <n v="100137"/>
    <s v="STM Group plc"/>
    <x v="0"/>
    <s v="Quoted"/>
    <s v="n/a"/>
    <d v="2019-10-21T00:00:00.000"/>
    <d v="2019-10-23T00:00:00.000"/>
    <s v="Non-Qualifying"/>
    <s v="Divestment"/>
    <n v="8272"/>
    <n v="-3966.74"/>
    <n v="0.4795382011605416"/>
    <n v="-3599.38"/>
    <n v="0.4351281431334623"/>
    <n v="0.9073899474127369"/>
    <n v="-367.3599999999997"/>
  </r>
  <r>
    <x v="2"/>
    <n v="26"/>
    <n v="100072"/>
    <s v="Ideagen plc"/>
    <x v="0"/>
    <s v="Quoted"/>
    <s v="n/a"/>
    <d v="2019-10-22T00:00:00.000"/>
    <d v="2019-10-24T00:00:00.000"/>
    <s v="Qualifying"/>
    <s v="Divestment"/>
    <n v="45000"/>
    <n v="-11628"/>
    <n v="0.2584"/>
    <n v="-66578.07"/>
    <n v="1.479512666666667"/>
    <n v="5.725668214654283"/>
    <n v="54950.07000000001"/>
  </r>
  <r>
    <x v="2"/>
    <n v="27"/>
    <n v="100072"/>
    <s v="Ideagen plc"/>
    <x v="0"/>
    <s v="Quoted"/>
    <s v="n/a"/>
    <d v="2019-10-25T00:00:00.000"/>
    <d v="2019-10-29T00:00:00.000"/>
    <s v="Qualifying"/>
    <s v="Divestment"/>
    <n v="54000"/>
    <n v="-13953.6"/>
    <n v="0.2584"/>
    <n v="-80028.62"/>
    <n v="1.4820114814814813"/>
    <n v="5.7353385506249275"/>
    <n v="66075.01999999999"/>
  </r>
  <r>
    <x v="2"/>
    <n v="30"/>
    <n v="100137"/>
    <s v="STM Group plc"/>
    <x v="0"/>
    <s v="Quoted"/>
    <s v="n/a"/>
    <d v="2019-11-01T00:00:00.000"/>
    <d v="2019-11-05T00:00:00.000"/>
    <s v="Non-Qualifying"/>
    <s v="Divestment"/>
    <n v="7954"/>
    <n v="-3814.25"/>
    <n v="0.47953859693236106"/>
    <n v="-3453.07"/>
    <n v="0.4341299974855419"/>
    <n v="0.9053077276004458"/>
    <n v="-361.17999999999984"/>
  </r>
  <r>
    <x v="2"/>
    <n v="33"/>
    <n v="100137"/>
    <s v="STM Group plc"/>
    <x v="0"/>
    <s v="Quoted"/>
    <s v="n/a"/>
    <d v="2019-11-20T00:00:00.000"/>
    <d v="2019-11-22T00:00:00.000"/>
    <s v="Non-Qualifying"/>
    <s v="Divestment"/>
    <n v="23860"/>
    <n v="-11441.78"/>
    <n v="0.4795381391450126"/>
    <n v="-10119.22"/>
    <n v="0.42410813076278286"/>
    <n v="0.8844095936121826"/>
    <n v="-1322.5600000000013"/>
  </r>
  <r>
    <x v="2"/>
    <n v="34"/>
    <n v="100137"/>
    <s v="STM Group plc"/>
    <x v="0"/>
    <s v="Quoted"/>
    <s v="n/a"/>
    <d v="2019-11-22T00:00:00.000"/>
    <d v="2019-11-26T00:00:00.000"/>
    <s v="Non-Qualifying"/>
    <s v="Divestment"/>
    <n v="15907"/>
    <n v="-7628.01"/>
    <n v="0.4795379392720186"/>
    <n v="-6826.33"/>
    <n v="0.4291400012573081"/>
    <n v="0.8949031267656964"/>
    <n v="-801.6800000000003"/>
  </r>
  <r>
    <x v="6"/>
    <n v="35"/>
    <n v="100139"/>
    <s v="Synectics plc"/>
    <x v="0"/>
    <s v="Quoted"/>
    <s v="n/a"/>
    <d v="2019-12-03T00:00:00.000"/>
    <d v="2019-12-05T00:00:00.000"/>
    <s v="Qualifying"/>
    <s v="Divestment"/>
    <n v="12963"/>
    <n v="-34404.369999999995"/>
    <n v="2.6540438170176652"/>
    <n v="-19728.04"/>
    <n v="1.5218730232199338"/>
    <n v="0.5734166909610612"/>
    <n v="-14676.329999999994"/>
  </r>
  <r>
    <x v="6"/>
    <n v="37"/>
    <n v="100139"/>
    <s v="Synectics plc"/>
    <x v="0"/>
    <s v="Quoted"/>
    <s v="n/a"/>
    <d v="2019-12-18T00:00:00.000"/>
    <d v="2019-12-20T00:00:00.000"/>
    <s v="Qualifying"/>
    <s v="Divestment"/>
    <n v="182754"/>
    <n v="-484298.1"/>
    <n v="2.65"/>
    <n v="-269022.03"/>
    <n v="1.4720445516924392"/>
    <n v="0.5554885100726186"/>
    <n v="-215276.06999999995"/>
  </r>
  <r>
    <x v="0"/>
    <n v="1"/>
    <n v="100039"/>
    <s v="Cloudcall Group plc"/>
    <x v="1"/>
    <s v="Quoted"/>
    <s v="n/a"/>
    <d v="2019-02-01T00:00:00.000"/>
    <d v="2019-02-05T00:00:00.000"/>
    <s v="Qualifying"/>
    <s v="Investment"/>
    <n v="176000"/>
    <n v="176000"/>
    <n v="1"/>
    <n v="176000"/>
    <s v=""/>
    <s v=""/>
    <s v=""/>
  </r>
  <r>
    <x v="1"/>
    <n v="2"/>
    <n v="100051"/>
    <s v="Diaceutics plc"/>
    <x v="1"/>
    <s v="Quoted"/>
    <s v="n/a"/>
    <d v="2019-03-18T00:00:00.000"/>
    <d v="2019-03-20T00:00:00.000"/>
    <s v="Qualifying"/>
    <s v="Investment"/>
    <n v="2092175"/>
    <n v="1590053"/>
    <n v="0.76"/>
    <n v="1590053"/>
    <s v=""/>
    <s v=""/>
    <s v=""/>
  </r>
  <r>
    <x v="2"/>
    <n v="3"/>
    <n v="100022"/>
    <s v="Bioventix plc"/>
    <x v="1"/>
    <s v="Quoted"/>
    <s v="n/a"/>
    <d v="2019-05-01T00:00:00.000"/>
    <d v="2019-05-03T00:00:00.000"/>
    <s v="Non-Qualifying"/>
    <s v="Divestment"/>
    <n v="12100"/>
    <n v="-31711.85"/>
    <n v="2.6208140495867767"/>
    <n v="-483031"/>
    <n v="39.9199173553719"/>
    <n v="15.23187704280892"/>
    <n v="451319.15"/>
  </r>
  <r>
    <x v="3"/>
    <n v="4"/>
    <n v="100022"/>
    <s v="Bioventix plc"/>
    <x v="1"/>
    <s v="Quoted"/>
    <s v="n/a"/>
    <d v="2019-05-17T00:00:00.000"/>
    <d v="2019-05-21T00:00:00.000"/>
    <s v="Non-Qualifying"/>
    <s v="Divestment"/>
    <n v="13750"/>
    <n v="-36036.2"/>
    <n v="2.6208145454545453"/>
    <n v="-537234.87"/>
    <n v="39.07162690909091"/>
    <n v="14.908199810190865"/>
    <n v="501198.67"/>
  </r>
  <r>
    <x v="3"/>
    <n v="5"/>
    <n v="100022"/>
    <s v="Bioventix plc"/>
    <x v="1"/>
    <s v="Quoted"/>
    <s v="n/a"/>
    <d v="2019-05-20T00:00:00.000"/>
    <d v="2019-05-22T00:00:00.000"/>
    <s v="Non-Qualifying"/>
    <s v="Divestment"/>
    <n v="22000"/>
    <n v="-57657.91"/>
    <n v="2.620814090909091"/>
    <n v="-859576.4"/>
    <n v="39.07165454545455"/>
    <n v="14.9082129407743"/>
    <n v="801918.49"/>
  </r>
  <r>
    <x v="1"/>
    <n v="6"/>
    <n v="100042"/>
    <s v="Collagen Solutions plc"/>
    <x v="1"/>
    <s v="Quoted"/>
    <s v="n/a"/>
    <d v="2019-05-20T00:00:00.000"/>
    <d v="2019-06-04T00:00:00.000"/>
    <s v="Qualifying"/>
    <s v="Investment"/>
    <n v="2772000"/>
    <n v="138600"/>
    <n v="0.05"/>
    <n v="138600"/>
    <s v=""/>
    <s v=""/>
    <s v=""/>
  </r>
  <r>
    <x v="2"/>
    <n v="7"/>
    <n v="100022"/>
    <s v="Bioventix plc"/>
    <x v="1"/>
    <s v="Quoted"/>
    <s v="n/a"/>
    <d v="2019-05-22T00:00:00.000"/>
    <d v="2019-05-24T00:00:00.000"/>
    <s v="Non-Qualifying"/>
    <s v="Divestment"/>
    <n v="14575"/>
    <n v="-38198.37"/>
    <n v="2.6208144082332763"/>
    <n v="-569469.03"/>
    <n v="39.07163156089194"/>
    <n v="14.908202365703039"/>
    <n v="531270.66"/>
  </r>
  <r>
    <x v="2"/>
    <n v="8"/>
    <n v="100137"/>
    <s v="STM Group plc"/>
    <x v="1"/>
    <s v="Quoted"/>
    <s v="n/a"/>
    <d v="2019-09-12T00:00:00.000"/>
    <d v="2019-09-16T00:00:00.000"/>
    <s v="Non-Qualifying"/>
    <s v="Divestment"/>
    <n v="545489"/>
    <n v="-285814"/>
    <n v="0.5239592365748896"/>
    <n v="-229289.1"/>
    <n v="0.4203367987255472"/>
    <n v="0.8022318710769941"/>
    <n v="-56524.899999999994"/>
  </r>
  <r>
    <x v="2"/>
    <n v="11"/>
    <n v="100137"/>
    <s v="STM Group plc"/>
    <x v="1"/>
    <s v="Quoted"/>
    <s v="n/a"/>
    <d v="2019-09-20T00:00:00.000"/>
    <d v="2019-09-24T00:00:00.000"/>
    <s v="Non-Qualifying"/>
    <s v="Divestment"/>
    <n v="6819"/>
    <n v="-3572.88"/>
    <n v="0.5239595248570171"/>
    <n v="-3028.39"/>
    <n v="0.4441105733978589"/>
    <n v="0.8476047334363314"/>
    <n v="-544.4900000000002"/>
  </r>
  <r>
    <x v="4"/>
    <n v="12"/>
    <n v="100249"/>
    <s v="Entertainment AI plc"/>
    <x v="1"/>
    <s v="Quoted"/>
    <s v="n/a"/>
    <d v="2019-09-27T00:00:00.000"/>
    <d v="2019-09-30T00:00:00.000"/>
    <s v="Qualifying"/>
    <s v="Investment"/>
    <n v="3533333"/>
    <n v="1589999.85"/>
    <n v="0.45"/>
    <n v="1589999.85"/>
    <s v=""/>
    <s v=""/>
    <s v=""/>
  </r>
  <r>
    <x v="5"/>
    <n v="13"/>
    <n v="100039"/>
    <s v="Cloudcall Group plc"/>
    <x v="1"/>
    <s v="Quoted"/>
    <s v="n/a"/>
    <d v="2019-09-30T00:00:00.000"/>
    <d v="2019-10-20T00:00:00.000"/>
    <s v="Qualifying"/>
    <s v="Investment"/>
    <n v="874500"/>
    <n v="874500"/>
    <n v="1"/>
    <n v="874500"/>
    <s v=""/>
    <s v=""/>
    <s v=""/>
  </r>
  <r>
    <x v="3"/>
    <n v="16"/>
    <n v="100024"/>
    <s v="Brady plc"/>
    <x v="1"/>
    <s v="Quoted"/>
    <s v="n/a"/>
    <d v="2019-10-04T00:00:00.000"/>
    <d v="2019-10-08T00:00:00.000"/>
    <s v="Qualifying"/>
    <s v="Divestment"/>
    <n v="1105000"/>
    <n v="-651950"/>
    <n v="0.59"/>
    <n v="-22054.8"/>
    <n v="0.019959095022624433"/>
    <n v="0.03382897461461768"/>
    <n v="-629895.2"/>
  </r>
  <r>
    <x v="5"/>
    <n v="17"/>
    <n v="100072"/>
    <s v="Ideagen plc"/>
    <x v="1"/>
    <s v="Quoted"/>
    <s v="n/a"/>
    <d v="2019-10-07T00:00:00.000"/>
    <d v="2019-10-09T00:00:00.000"/>
    <s v="Non-Qualifying"/>
    <s v="Divestment"/>
    <n v="302500"/>
    <n v="-102850"/>
    <n v="0.34"/>
    <n v="-440765.7"/>
    <n v="1.457076694214876"/>
    <n v="4.285519688867282"/>
    <n v="337915.7"/>
  </r>
  <r>
    <x v="5"/>
    <n v="18"/>
    <n v="100072"/>
    <s v="Ideagen plc"/>
    <x v="1"/>
    <s v="Quoted"/>
    <s v="n/a"/>
    <d v="2019-10-08T00:00:00.000"/>
    <d v="2019-10-10T00:00:00.000"/>
    <s v="Non-Qualifying"/>
    <s v="Divestment"/>
    <n v="55000"/>
    <n v="-18700"/>
    <n v="0.34"/>
    <n v="-80961.75"/>
    <n v="1.4720318181818182"/>
    <n v="4.3295053475935825"/>
    <n v="62261.75"/>
  </r>
  <r>
    <x v="5"/>
    <n v="19"/>
    <n v="100072"/>
    <s v="Ideagen plc"/>
    <x v="1"/>
    <s v="Quoted"/>
    <s v="n/a"/>
    <d v="2019-10-09T00:00:00.000"/>
    <d v="2019-10-11T00:00:00.000"/>
    <s v="Non-Qualifying"/>
    <s v="Divestment"/>
    <n v="27500"/>
    <n v="-9350"/>
    <n v="0.34"/>
    <n v="-40480.37"/>
    <n v="1.4720134545454546"/>
    <n v="4.329451336898396"/>
    <n v="31130.370000000003"/>
  </r>
  <r>
    <x v="5"/>
    <n v="20"/>
    <n v="100072"/>
    <s v="Ideagen plc"/>
    <x v="1"/>
    <s v="Quoted"/>
    <s v="n/a"/>
    <d v="2019-10-10T00:00:00.000"/>
    <d v="2019-10-14T00:00:00.000"/>
    <s v="Non-Qualifying"/>
    <s v="Divestment"/>
    <n v="25850"/>
    <n v="-8789"/>
    <n v="0.34"/>
    <n v="-38549.41"/>
    <n v="1.4912731141199227"/>
    <n v="4.386097394470361"/>
    <n v="29760.410000000003"/>
  </r>
  <r>
    <x v="5"/>
    <n v="21"/>
    <n v="100072"/>
    <s v="Ideagen plc"/>
    <x v="1"/>
    <s v="Quoted"/>
    <s v="n/a"/>
    <d v="2019-10-11T00:00:00.000"/>
    <d v="2019-10-15T00:00:00.000"/>
    <s v="Non-Qualifying"/>
    <s v="Divestment"/>
    <n v="22000"/>
    <n v="-7480"/>
    <n v="0.34"/>
    <n v="-32741.98"/>
    <n v="1.4882718181818182"/>
    <n v="4.377270053475936"/>
    <n v="25261.98"/>
  </r>
  <r>
    <x v="2"/>
    <n v="23"/>
    <n v="100072"/>
    <s v="Ideagen plc"/>
    <x v="1"/>
    <s v="Quoted"/>
    <s v="n/a"/>
    <d v="2019-10-17T00:00:00.000"/>
    <d v="2019-10-21T00:00:00.000"/>
    <s v="Qualifying"/>
    <s v="Divestment"/>
    <n v="1024567"/>
    <n v="-295427.6"/>
    <n v="0.2883438564779072"/>
    <n v="-1508212.85"/>
    <n v="1.4720490216842823"/>
    <n v="5.105186008348578"/>
    <n v="1212785.25"/>
  </r>
  <r>
    <x v="2"/>
    <n v="24"/>
    <n v="100137"/>
    <s v="STM Group plc"/>
    <x v="1"/>
    <s v="Quoted"/>
    <s v="n/a"/>
    <d v="2019-10-18T00:00:00.000"/>
    <d v="2019-10-22T00:00:00.000"/>
    <s v="Non-Qualifying"/>
    <s v="Divestment"/>
    <n v="255016"/>
    <n v="-133617.98"/>
    <n v="0.5239592025598394"/>
    <n v="-109436.57"/>
    <n v="0.42913609342158926"/>
    <n v="0.8190257778182247"/>
    <n v="-24181.410000000003"/>
  </r>
  <r>
    <x v="2"/>
    <n v="25"/>
    <n v="100137"/>
    <s v="STM Group plc"/>
    <x v="1"/>
    <s v="Quoted"/>
    <s v="n/a"/>
    <d v="2019-10-21T00:00:00.000"/>
    <d v="2019-10-23T00:00:00.000"/>
    <s v="Non-Qualifying"/>
    <s v="Divestment"/>
    <n v="17728"/>
    <n v="-9288.75"/>
    <n v="0.5239592734657039"/>
    <n v="-7713.95"/>
    <n v="0.43512804602888083"/>
    <n v="0.83046157986812"/>
    <n v="-1574.8000000000002"/>
  </r>
  <r>
    <x v="2"/>
    <n v="26"/>
    <n v="100072"/>
    <s v="Ideagen plc"/>
    <x v="1"/>
    <s v="Quoted"/>
    <s v="n/a"/>
    <d v="2019-10-22T00:00:00.000"/>
    <d v="2019-10-24T00:00:00.000"/>
    <s v="Qualifying"/>
    <s v="Divestment"/>
    <n v="55000"/>
    <n v="-14212"/>
    <n v="0.2584"/>
    <n v="-81373.42"/>
    <n v="1.4795167272727272"/>
    <n v="5.725683929074022"/>
    <n v="67161.42"/>
  </r>
  <r>
    <x v="2"/>
    <n v="27"/>
    <n v="100072"/>
    <s v="Ideagen plc"/>
    <x v="1"/>
    <s v="Quoted"/>
    <s v="n/a"/>
    <d v="2019-10-25T00:00:00.000"/>
    <d v="2019-10-29T00:00:00.000"/>
    <s v="Qualifying"/>
    <s v="Divestment"/>
    <n v="66000"/>
    <n v="-17054.4"/>
    <n v="0.2584"/>
    <n v="-97812.98"/>
    <n v="1.4820148484848483"/>
    <n v="5.735351580823716"/>
    <n v="80758.57999999999"/>
  </r>
  <r>
    <x v="2"/>
    <n v="30"/>
    <n v="100137"/>
    <s v="STM Group plc"/>
    <x v="1"/>
    <s v="Quoted"/>
    <s v="n/a"/>
    <d v="2019-11-01T00:00:00.000"/>
    <d v="2019-11-05T00:00:00.000"/>
    <s v="Non-Qualifying"/>
    <s v="Divestment"/>
    <n v="17046"/>
    <n v="-8931.41"/>
    <n v="0.523959286636161"/>
    <n v="-7400.18"/>
    <n v="0.4341300011732958"/>
    <n v="0.8285567452395535"/>
    <n v="-1531.2299999999996"/>
  </r>
  <r>
    <x v="2"/>
    <n v="33"/>
    <n v="100137"/>
    <s v="STM Group plc"/>
    <x v="1"/>
    <s v="Quoted"/>
    <s v="n/a"/>
    <d v="2019-11-20T00:00:00.000"/>
    <d v="2019-11-22T00:00:00.000"/>
    <s v="Non-Qualifying"/>
    <s v="Divestment"/>
    <n v="51140"/>
    <n v="-26795.27"/>
    <n v="0.5239591317950724"/>
    <n v="-21690.03"/>
    <n v="0.4241304262807978"/>
    <n v="0.809472343439719"/>
    <n v="-5105.240000000002"/>
  </r>
  <r>
    <x v="2"/>
    <n v="34"/>
    <n v="100137"/>
    <s v="STM Group plc"/>
    <x v="1"/>
    <s v="Quoted"/>
    <s v="n/a"/>
    <d v="2019-11-22T00:00:00.000"/>
    <d v="2019-11-26T00:00:00.000"/>
    <s v="Non-Qualifying"/>
    <s v="Divestment"/>
    <n v="34093"/>
    <n v="-17863.34"/>
    <n v="0.523959170504209"/>
    <n v="-14629.67"/>
    <n v="0.42911066787903673"/>
    <n v="0.8189773021170733"/>
    <n v="-3233.67"/>
  </r>
  <r>
    <x v="6"/>
    <n v="35"/>
    <n v="100139"/>
    <s v="Synectics plc"/>
    <x v="1"/>
    <s v="Quoted"/>
    <s v="n/a"/>
    <d v="2019-12-03T00:00:00.000"/>
    <d v="2019-12-05T00:00:00.000"/>
    <s v="Qualifying"/>
    <s v="Divestment"/>
    <n v="12037"/>
    <n v="-31950.469999999998"/>
    <n v="2.654354905707402"/>
    <n v="-18318.72"/>
    <n v="1.521867574977154"/>
    <n v="0.5733474343256924"/>
    <n v="-13631.749999999996"/>
  </r>
  <r>
    <x v="6"/>
    <n v="37"/>
    <n v="100139"/>
    <s v="Synectics plc"/>
    <x v="1"/>
    <s v="Quoted"/>
    <s v="n/a"/>
    <d v="2019-12-18T00:00:00.000"/>
    <d v="2019-12-20T00:00:00.000"/>
    <s v="Qualifying"/>
    <s v="Divestment"/>
    <n v="169704"/>
    <n v="-449715.6"/>
    <n v="2.65"/>
    <n v="-249811.77"/>
    <n v="1.4720440885306179"/>
    <n v="0.5554883352945729"/>
    <n v="-199903.83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G7:J17" firstHeaderRow="1" firstDataRow="2" firstDataCol="1"/>
  <pivotFields count="15">
    <pivotField axis="axisCol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">
        <item x="5"/>
        <item x="4"/>
        <item x="6"/>
        <item x="8"/>
        <item x="7"/>
        <item x="2"/>
        <item x="1"/>
        <item x="3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Quantity" fld="9" subtotal="count" baseField="7" baseItem="2" numFmtId="165"/>
  </dataFields>
  <formats count="1">
    <format dxfId="16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B7:E16" firstHeaderRow="1" firstDataRow="2" firstDataCol="1"/>
  <pivotFields count="18">
    <pivotField axis="axisRow" showAll="0">
      <items count="9">
        <item x="0"/>
        <item x="5"/>
        <item x="1"/>
        <item x="4"/>
        <item x="2"/>
        <item x="6"/>
        <item x="3"/>
        <item m="1" x="7"/>
        <item t="default"/>
      </items>
    </pivotField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 numFmtId="14"/>
    <pivotField showAll="0" numFmtId="14"/>
    <pivotField showAll="0"/>
    <pivotField showAll="0"/>
    <pivotField dataField="1" showAll="0" numFmtId="173"/>
    <pivotField showAll="0" numFmtId="173"/>
    <pivotField showAll="0" numFmtId="174"/>
    <pivotField showAll="0" numFmtId="173"/>
    <pivotField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 of Shares" fld="11" baseField="0" baseItem="0" numFmtId="165"/>
  </dataFields>
  <formats count="1">
    <format dxfId="13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G7:J16" firstHeaderRow="1" firstDataRow="2" firstDataCol="1"/>
  <pivotFields count="18">
    <pivotField axis="axisRow" showAll="0">
      <items count="9">
        <item x="0"/>
        <item x="5"/>
        <item x="1"/>
        <item x="4"/>
        <item x="2"/>
        <item x="6"/>
        <item x="3"/>
        <item m="1" x="7"/>
        <item t="default"/>
      </items>
    </pivotField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 numFmtId="14"/>
    <pivotField showAll="0" numFmtId="14"/>
    <pivotField showAll="0"/>
    <pivotField showAll="0"/>
    <pivotField dataField="1" showAll="0" numFmtId="173"/>
    <pivotField showAll="0" numFmtId="173"/>
    <pivotField showAll="0" numFmtId="174"/>
    <pivotField showAll="0" numFmtId="173"/>
    <pivotField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Shares" fld="11" subtotal="count" baseField="0" baseItem="3" numFmtId="165"/>
  </dataFields>
  <formats count="1">
    <format dxfId="14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B7:F27" firstHeaderRow="1" firstDataRow="2" firstDataCol="1"/>
  <pivotFields count="33">
    <pivotField axis="axisCol" showAll="0">
      <items count="10">
        <item x="1"/>
        <item m="1" x="7"/>
        <item x="0"/>
        <item m="1" x="8"/>
        <item m="1" x="6"/>
        <item x="2"/>
        <item m="1" x="3"/>
        <item m="1" x="5"/>
        <item m="1" x="4"/>
        <item t="default"/>
      </items>
    </pivotField>
    <pivotField showAll="0" numFmtId="14"/>
    <pivotField showAll="0"/>
    <pivotField showAll="0"/>
    <pivotField showAll="0"/>
    <pivotField showAll="0"/>
    <pivotField axis="axisRow" showAll="0" sortType="ascending">
      <items count="29">
        <item x="0"/>
        <item x="15"/>
        <item x="4"/>
        <item m="1" x="20"/>
        <item m="1" x="24"/>
        <item x="14"/>
        <item x="1"/>
        <item x="11"/>
        <item x="5"/>
        <item x="13"/>
        <item x="17"/>
        <item x="7"/>
        <item m="1" x="19"/>
        <item x="2"/>
        <item m="1" x="18"/>
        <item x="3"/>
        <item x="9"/>
        <item m="1" x="21"/>
        <item x="8"/>
        <item m="1" x="22"/>
        <item m="1" x="26"/>
        <item x="10"/>
        <item x="16"/>
        <item m="1" x="25"/>
        <item x="12"/>
        <item m="1" x="23"/>
        <item x="6"/>
        <item m="1" x="27"/>
        <item t="default"/>
      </items>
    </pivotField>
    <pivotField showAll="0"/>
    <pivotField showAll="0"/>
    <pivotField showAll="0" numFmtId="1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9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8"/>
    </i>
    <i>
      <x v="21"/>
    </i>
    <i>
      <x v="22"/>
    </i>
    <i>
      <x v="24"/>
    </i>
    <i>
      <x v="26"/>
    </i>
    <i t="grand">
      <x/>
    </i>
  </rowItems>
  <colFields count="1">
    <field x="0"/>
  </colFields>
  <colItems count="4">
    <i>
      <x/>
    </i>
    <i>
      <x v="2"/>
    </i>
    <i>
      <x v="5"/>
    </i>
    <i t="grand">
      <x/>
    </i>
  </colItems>
  <dataFields count="1">
    <dataField name="Sum of Current Face" fld="23" baseField="6" baseItem="6" numFmtId="165"/>
  </dataFields>
  <formats count="1">
    <format dxfId="17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H7:L27" firstHeaderRow="1" firstDataRow="2" firstDataCol="1"/>
  <pivotFields count="33">
    <pivotField axis="axisCol" showAll="0">
      <items count="10">
        <item x="1"/>
        <item m="1" x="7"/>
        <item x="0"/>
        <item m="1" x="8"/>
        <item m="1" x="6"/>
        <item x="2"/>
        <item m="1" x="3"/>
        <item m="1" x="5"/>
        <item m="1" x="4"/>
        <item t="default"/>
      </items>
    </pivotField>
    <pivotField showAll="0" numFmtId="14"/>
    <pivotField showAll="0"/>
    <pivotField showAll="0"/>
    <pivotField showAll="0"/>
    <pivotField showAll="0"/>
    <pivotField axis="axisRow" showAll="0" sortType="ascending">
      <items count="29">
        <item x="0"/>
        <item x="15"/>
        <item x="4"/>
        <item m="1" x="20"/>
        <item m="1" x="24"/>
        <item x="14"/>
        <item x="1"/>
        <item x="11"/>
        <item x="5"/>
        <item x="13"/>
        <item x="17"/>
        <item x="7"/>
        <item m="1" x="19"/>
        <item x="2"/>
        <item m="1" x="18"/>
        <item x="3"/>
        <item x="9"/>
        <item m="1" x="21"/>
        <item x="8"/>
        <item m="1" x="22"/>
        <item m="1" x="26"/>
        <item x="10"/>
        <item x="16"/>
        <item m="1" x="25"/>
        <item x="12"/>
        <item m="1" x="23"/>
        <item x="6"/>
        <item m="1" x="27"/>
        <item t="default"/>
      </items>
    </pivotField>
    <pivotField showAll="0"/>
    <pivotField showAll="0"/>
    <pivotField showAll="0" numFmtId="1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9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8"/>
    </i>
    <i>
      <x v="21"/>
    </i>
    <i>
      <x v="22"/>
    </i>
    <i>
      <x v="24"/>
    </i>
    <i>
      <x v="26"/>
    </i>
    <i t="grand">
      <x/>
    </i>
  </rowItems>
  <colFields count="1">
    <field x="0"/>
  </colFields>
  <colItems count="4">
    <i>
      <x/>
    </i>
    <i>
      <x v="2"/>
    </i>
    <i>
      <x v="5"/>
    </i>
    <i t="grand">
      <x/>
    </i>
  </colItems>
  <dataFields count="1">
    <dataField name="Count of Current Face" fld="23" subtotal="count" baseField="6" baseItem="6" numFmtId="165"/>
  </dataFields>
  <formats count="1">
    <format dxfId="18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B7:E17" firstHeaderRow="1" firstDataRow="2" firstDataCol="1"/>
  <pivotFields count="15">
    <pivotField axis="axisCol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">
        <item x="5"/>
        <item x="4"/>
        <item x="6"/>
        <item x="8"/>
        <item x="7"/>
        <item x="2"/>
        <item x="1"/>
        <item x="3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Quantity" fld="9" baseField="0" baseItem="0" numFmtId="165"/>
  </dataFields>
  <formats count="1">
    <format dxfId="15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ettlements@shorecap.co.uk" TargetMode="External" /><Relationship Id="rId2" Type="http://schemas.openxmlformats.org/officeDocument/2006/relationships/hyperlink" Target="mailto:ops@NPlus1Singer.com" TargetMode="External" /><Relationship Id="rId3" Type="http://schemas.openxmlformats.org/officeDocument/2006/relationships/hyperlink" Target="mailto:ops@NPlus1Singer.com" TargetMode="External" /><Relationship Id="rId4" Type="http://schemas.openxmlformats.org/officeDocument/2006/relationships/hyperlink" Target="mailto:middleoffice@numis.com" TargetMode="External" /><Relationship Id="rId5" Type="http://schemas.openxmlformats.org/officeDocument/2006/relationships/hyperlink" Target="mailto:middleoffice@numis.com" TargetMode="External" /><Relationship Id="rId6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Relationship Id="rId2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Relationship Id="rId2" Type="http://schemas.openxmlformats.org/officeDocument/2006/relationships/pivotTable" Target="../pivotTables/pivotTable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ttlements@shorecap.co.uk" TargetMode="External" /><Relationship Id="rId2" Type="http://schemas.openxmlformats.org/officeDocument/2006/relationships/hyperlink" Target="mailto:ops@NPlus1Singer.com" TargetMode="External" /><Relationship Id="rId3" Type="http://schemas.openxmlformats.org/officeDocument/2006/relationships/hyperlink" Target="mailto:middleoffice@numis.com" TargetMode="External" /><Relationship Id="rId4" Type="http://schemas.openxmlformats.org/officeDocument/2006/relationships/hyperlink" Target="mailto:middleoffice@numis.com" TargetMode="External" /><Relationship Id="rId5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E4CD-6FB8-4D5A-B33E-D76BD6303644}">
  <dimension ref="A3:M32"/>
  <sheetViews>
    <sheetView tabSelected="1" workbookViewId="0" topLeftCell="A1">
      <selection activeCell="O14" sqref="O14"/>
    </sheetView>
  </sheetViews>
  <sheetFormatPr defaultColWidth="9.140625" defaultRowHeight="15" outlineLevelCol="1"/>
  <cols>
    <col min="2" max="2" width="18.421875" style="0" bestFit="1" customWidth="1"/>
    <col min="3" max="4" width="13.7109375" style="0" hidden="1" customWidth="1" outlineLevel="1"/>
    <col min="5" max="5" width="11.28125" style="0" hidden="1" customWidth="1" outlineLevel="1"/>
    <col min="6" max="6" width="13.7109375" style="0" customWidth="1" collapsed="1"/>
    <col min="9" max="11" width="8.7109375" style="0" hidden="1" customWidth="1" outlineLevel="1"/>
    <col min="12" max="12" width="8.7109375" style="0" customWidth="1" collapsed="1"/>
  </cols>
  <sheetData>
    <row r="3" ht="15">
      <c r="B3" s="21" t="s">
        <v>3454</v>
      </c>
    </row>
    <row r="5" spans="2:13" ht="15" thickBot="1">
      <c r="B5" s="154"/>
      <c r="C5" s="153" t="s">
        <v>3449</v>
      </c>
      <c r="D5" s="153" t="s">
        <v>3450</v>
      </c>
      <c r="E5" s="153" t="s">
        <v>3451</v>
      </c>
      <c r="F5" s="153" t="s">
        <v>3452</v>
      </c>
      <c r="G5" s="153" t="s">
        <v>3453</v>
      </c>
      <c r="I5" s="153" t="s">
        <v>3449</v>
      </c>
      <c r="J5" s="153" t="s">
        <v>3450</v>
      </c>
      <c r="K5" s="153" t="s">
        <v>3451</v>
      </c>
      <c r="L5" s="153" t="s">
        <v>3402</v>
      </c>
      <c r="M5" s="153" t="s">
        <v>3453</v>
      </c>
    </row>
    <row r="6" spans="1:13" ht="15">
      <c r="A6" s="158">
        <v>1</v>
      </c>
      <c r="B6" t="s">
        <v>632</v>
      </c>
      <c r="C6" s="126">
        <v>47123972</v>
      </c>
      <c r="D6" s="126">
        <v>12047590</v>
      </c>
      <c r="E6" s="126">
        <v>1765000</v>
      </c>
      <c r="F6" s="126">
        <f aca="true" t="shared" si="0" ref="F6:F23">SUM(C6:E6)</f>
        <v>60936562</v>
      </c>
      <c r="G6" s="152">
        <f>F6/$F$24</f>
        <v>0.22115553879185385</v>
      </c>
      <c r="H6" s="152"/>
      <c r="I6">
        <v>108</v>
      </c>
      <c r="J6">
        <v>32</v>
      </c>
      <c r="K6">
        <v>6</v>
      </c>
      <c r="L6" s="126">
        <f aca="true" t="shared" si="1" ref="L6:L23">SUM(I6:K6)</f>
        <v>146</v>
      </c>
      <c r="M6" s="152">
        <f>L6/$L$24</f>
        <v>0.1997264021887825</v>
      </c>
    </row>
    <row r="7" spans="1:13" ht="15">
      <c r="A7" s="158">
        <v>2</v>
      </c>
      <c r="B7" t="s">
        <v>875</v>
      </c>
      <c r="C7" s="126">
        <v>830000</v>
      </c>
      <c r="D7" s="126">
        <v>42575719</v>
      </c>
      <c r="E7" s="126"/>
      <c r="F7" s="126">
        <f t="shared" si="0"/>
        <v>43405719</v>
      </c>
      <c r="G7" s="152">
        <f aca="true" t="shared" si="2" ref="G7:G23">F7/$F$24</f>
        <v>0.15753128921340864</v>
      </c>
      <c r="H7" s="152"/>
      <c r="I7">
        <v>1</v>
      </c>
      <c r="J7">
        <v>18</v>
      </c>
      <c r="L7" s="126">
        <f t="shared" si="1"/>
        <v>19</v>
      </c>
      <c r="M7" s="152">
        <f aca="true" t="shared" si="3" ref="M7:M23">L7/$L$24</f>
        <v>0.025991792065663474</v>
      </c>
    </row>
    <row r="8" spans="1:13" ht="15">
      <c r="A8" s="158">
        <v>3</v>
      </c>
      <c r="B8" t="s">
        <v>1366</v>
      </c>
      <c r="C8" s="126">
        <v>33520288</v>
      </c>
      <c r="D8" s="126">
        <v>1014069</v>
      </c>
      <c r="E8" s="126">
        <v>377458</v>
      </c>
      <c r="F8" s="126">
        <f t="shared" si="0"/>
        <v>34911815</v>
      </c>
      <c r="G8" s="152">
        <f t="shared" si="2"/>
        <v>0.1267045760889255</v>
      </c>
      <c r="H8" s="152"/>
      <c r="I8">
        <v>24</v>
      </c>
      <c r="J8">
        <v>5</v>
      </c>
      <c r="K8">
        <v>4</v>
      </c>
      <c r="L8" s="126">
        <f t="shared" si="1"/>
        <v>33</v>
      </c>
      <c r="M8" s="152">
        <f t="shared" si="3"/>
        <v>0.04514363885088919</v>
      </c>
    </row>
    <row r="9" spans="1:13" ht="15">
      <c r="A9" s="158">
        <v>4</v>
      </c>
      <c r="B9" t="s">
        <v>23</v>
      </c>
      <c r="C9" s="126">
        <v>24509285</v>
      </c>
      <c r="D9" s="126"/>
      <c r="E9" s="126">
        <v>8987500</v>
      </c>
      <c r="F9" s="126">
        <f t="shared" si="0"/>
        <v>33496785</v>
      </c>
      <c r="G9" s="152">
        <f t="shared" si="2"/>
        <v>0.12156904313817193</v>
      </c>
      <c r="H9" s="152"/>
      <c r="I9">
        <v>33</v>
      </c>
      <c r="K9">
        <v>4</v>
      </c>
      <c r="L9" s="126">
        <f t="shared" si="1"/>
        <v>37</v>
      </c>
      <c r="M9" s="152">
        <f t="shared" si="3"/>
        <v>0.0506155950752394</v>
      </c>
    </row>
    <row r="10" spans="1:13" ht="15">
      <c r="A10" s="158">
        <v>5</v>
      </c>
      <c r="B10" t="s">
        <v>119</v>
      </c>
      <c r="C10" s="126">
        <v>22094444</v>
      </c>
      <c r="D10" s="126">
        <f>4834737+1548147</f>
        <v>6382884</v>
      </c>
      <c r="E10" s="126"/>
      <c r="F10" s="126">
        <f t="shared" si="0"/>
        <v>28477328</v>
      </c>
      <c r="G10" s="152">
        <f t="shared" si="2"/>
        <v>0.10335205352071464</v>
      </c>
      <c r="H10" s="152"/>
      <c r="I10">
        <v>178</v>
      </c>
      <c r="J10">
        <v>6</v>
      </c>
      <c r="L10" s="126">
        <f t="shared" si="1"/>
        <v>184</v>
      </c>
      <c r="M10" s="152">
        <f t="shared" si="3"/>
        <v>0.25170998632010944</v>
      </c>
    </row>
    <row r="11" spans="2:13" ht="15">
      <c r="B11" t="s">
        <v>109</v>
      </c>
      <c r="C11" s="126">
        <v>4186980</v>
      </c>
      <c r="D11" s="126">
        <v>12429868</v>
      </c>
      <c r="E11" s="126"/>
      <c r="F11" s="126">
        <f t="shared" si="0"/>
        <v>16616848</v>
      </c>
      <c r="G11" s="152">
        <f t="shared" si="2"/>
        <v>0.06030711040872866</v>
      </c>
      <c r="H11" s="152"/>
      <c r="I11">
        <v>36</v>
      </c>
      <c r="J11">
        <v>36</v>
      </c>
      <c r="L11" s="126">
        <f t="shared" si="1"/>
        <v>72</v>
      </c>
      <c r="M11" s="152">
        <f t="shared" si="3"/>
        <v>0.09849521203830369</v>
      </c>
    </row>
    <row r="12" spans="2:13" ht="15">
      <c r="B12" t="s">
        <v>325</v>
      </c>
      <c r="C12" s="126">
        <v>12963001</v>
      </c>
      <c r="D12" s="126"/>
      <c r="E12" s="126"/>
      <c r="F12" s="126">
        <f t="shared" si="0"/>
        <v>12963001</v>
      </c>
      <c r="G12" s="152">
        <f t="shared" si="2"/>
        <v>0.04704629497335836</v>
      </c>
      <c r="H12" s="152"/>
      <c r="I12">
        <v>47</v>
      </c>
      <c r="L12" s="126">
        <f t="shared" si="1"/>
        <v>47</v>
      </c>
      <c r="M12" s="152">
        <f t="shared" si="3"/>
        <v>0.06429548563611491</v>
      </c>
    </row>
    <row r="13" spans="2:13" ht="15">
      <c r="B13" t="s">
        <v>183</v>
      </c>
      <c r="C13" s="126">
        <v>8659316</v>
      </c>
      <c r="D13" s="126"/>
      <c r="E13" s="126">
        <v>3491349</v>
      </c>
      <c r="F13" s="126">
        <f t="shared" si="0"/>
        <v>12150665</v>
      </c>
      <c r="G13" s="152">
        <f t="shared" si="2"/>
        <v>0.04409810426709536</v>
      </c>
      <c r="H13" s="152"/>
      <c r="I13">
        <v>25</v>
      </c>
      <c r="K13">
        <v>24</v>
      </c>
      <c r="L13" s="126">
        <f t="shared" si="1"/>
        <v>49</v>
      </c>
      <c r="M13" s="152">
        <f t="shared" si="3"/>
        <v>0.06703146374829001</v>
      </c>
    </row>
    <row r="14" spans="2:13" ht="15">
      <c r="B14" t="s">
        <v>90</v>
      </c>
      <c r="C14" s="126">
        <v>11300700</v>
      </c>
      <c r="D14" s="126">
        <v>727272</v>
      </c>
      <c r="E14" s="126"/>
      <c r="F14" s="126">
        <f t="shared" si="0"/>
        <v>12027972</v>
      </c>
      <c r="G14" s="152">
        <f t="shared" si="2"/>
        <v>0.043652817634072166</v>
      </c>
      <c r="H14" s="152"/>
      <c r="I14">
        <v>42</v>
      </c>
      <c r="J14">
        <v>1</v>
      </c>
      <c r="L14" s="126">
        <f t="shared" si="1"/>
        <v>43</v>
      </c>
      <c r="M14" s="152">
        <f t="shared" si="3"/>
        <v>0.058823529411764705</v>
      </c>
    </row>
    <row r="15" spans="2:13" ht="15">
      <c r="B15" t="s">
        <v>104</v>
      </c>
      <c r="C15" s="126">
        <v>912136</v>
      </c>
      <c r="D15" s="126"/>
      <c r="E15" s="126">
        <v>6666666</v>
      </c>
      <c r="F15" s="126">
        <f t="shared" si="0"/>
        <v>7578802</v>
      </c>
      <c r="G15" s="152">
        <f t="shared" si="2"/>
        <v>0.027505556347382703</v>
      </c>
      <c r="H15" s="152"/>
      <c r="I15">
        <v>2</v>
      </c>
      <c r="K15">
        <v>2</v>
      </c>
      <c r="L15" s="126">
        <f t="shared" si="1"/>
        <v>4</v>
      </c>
      <c r="M15" s="152">
        <f t="shared" si="3"/>
        <v>0.005471956224350205</v>
      </c>
    </row>
    <row r="16" spans="2:13" ht="15">
      <c r="B16" t="s">
        <v>126</v>
      </c>
      <c r="C16" s="126">
        <v>1889765</v>
      </c>
      <c r="D16" s="126"/>
      <c r="E16" s="126">
        <v>2377000</v>
      </c>
      <c r="F16" s="126">
        <f t="shared" si="0"/>
        <v>4266765</v>
      </c>
      <c r="G16" s="152">
        <f t="shared" si="2"/>
        <v>0.015485263387081541</v>
      </c>
      <c r="H16" s="152"/>
      <c r="I16">
        <v>23</v>
      </c>
      <c r="K16">
        <v>12</v>
      </c>
      <c r="L16" s="126">
        <f t="shared" si="1"/>
        <v>35</v>
      </c>
      <c r="M16" s="152">
        <f t="shared" si="3"/>
        <v>0.047879616963064295</v>
      </c>
    </row>
    <row r="17" spans="2:13" ht="15">
      <c r="B17" t="s">
        <v>914</v>
      </c>
      <c r="C17" s="126">
        <v>2171187</v>
      </c>
      <c r="D17" s="126"/>
      <c r="E17" s="126"/>
      <c r="F17" s="126">
        <f t="shared" si="0"/>
        <v>2171187</v>
      </c>
      <c r="G17" s="152">
        <f t="shared" si="2"/>
        <v>0.007879834618875755</v>
      </c>
      <c r="H17" s="152"/>
      <c r="I17">
        <v>10</v>
      </c>
      <c r="L17" s="126">
        <f t="shared" si="1"/>
        <v>10</v>
      </c>
      <c r="M17" s="152">
        <f t="shared" si="3"/>
        <v>0.013679890560875513</v>
      </c>
    </row>
    <row r="18" spans="2:13" ht="15">
      <c r="B18" t="s">
        <v>547</v>
      </c>
      <c r="C18" s="126">
        <v>11720</v>
      </c>
      <c r="D18" s="126">
        <v>2090634</v>
      </c>
      <c r="E18" s="126"/>
      <c r="F18" s="126">
        <f t="shared" si="0"/>
        <v>2102354</v>
      </c>
      <c r="G18" s="152">
        <f t="shared" si="2"/>
        <v>0.007630020735354402</v>
      </c>
      <c r="H18" s="152"/>
      <c r="I18">
        <v>2</v>
      </c>
      <c r="J18">
        <v>3</v>
      </c>
      <c r="L18" s="126">
        <f t="shared" si="1"/>
        <v>5</v>
      </c>
      <c r="M18" s="152">
        <f t="shared" si="3"/>
        <v>0.006839945280437756</v>
      </c>
    </row>
    <row r="19" spans="2:13" ht="15">
      <c r="B19" t="s">
        <v>1277</v>
      </c>
      <c r="C19" s="126">
        <v>2043354</v>
      </c>
      <c r="D19" s="126"/>
      <c r="E19" s="126"/>
      <c r="F19" s="126">
        <f t="shared" si="0"/>
        <v>2043354</v>
      </c>
      <c r="G19" s="152">
        <f t="shared" si="2"/>
        <v>0.007415893512543253</v>
      </c>
      <c r="H19" s="152"/>
      <c r="I19">
        <v>24</v>
      </c>
      <c r="L19" s="126">
        <f t="shared" si="1"/>
        <v>24</v>
      </c>
      <c r="M19" s="152">
        <f t="shared" si="3"/>
        <v>0.03283173734610123</v>
      </c>
    </row>
    <row r="20" spans="2:13" ht="15">
      <c r="B20" t="s">
        <v>2804</v>
      </c>
      <c r="C20" s="126">
        <v>1053100</v>
      </c>
      <c r="D20" s="126"/>
      <c r="E20" s="126"/>
      <c r="F20" s="126">
        <f t="shared" si="0"/>
        <v>1053100</v>
      </c>
      <c r="G20" s="152">
        <f t="shared" si="2"/>
        <v>0.0038219894634308593</v>
      </c>
      <c r="H20" s="152"/>
      <c r="I20">
        <v>7</v>
      </c>
      <c r="L20" s="126">
        <f t="shared" si="1"/>
        <v>7</v>
      </c>
      <c r="M20" s="152">
        <f t="shared" si="3"/>
        <v>0.009575923392612859</v>
      </c>
    </row>
    <row r="21" spans="2:13" ht="15">
      <c r="B21" t="s">
        <v>1174</v>
      </c>
      <c r="C21" s="126">
        <v>852261</v>
      </c>
      <c r="D21" s="126"/>
      <c r="E21" s="126"/>
      <c r="F21" s="126">
        <f t="shared" si="0"/>
        <v>852261</v>
      </c>
      <c r="G21" s="152">
        <f t="shared" si="2"/>
        <v>0.0030930895091568203</v>
      </c>
      <c r="H21" s="152"/>
      <c r="I21">
        <v>3</v>
      </c>
      <c r="L21" s="126">
        <f t="shared" si="1"/>
        <v>3</v>
      </c>
      <c r="M21" s="152">
        <f t="shared" si="3"/>
        <v>0.004103967168262654</v>
      </c>
    </row>
    <row r="22" spans="2:13" ht="15">
      <c r="B22" t="s">
        <v>5</v>
      </c>
      <c r="C22" s="126">
        <v>114600</v>
      </c>
      <c r="D22" s="126"/>
      <c r="E22" s="126">
        <v>320000</v>
      </c>
      <c r="F22" s="126">
        <f t="shared" si="0"/>
        <v>434600</v>
      </c>
      <c r="G22" s="152">
        <f t="shared" si="2"/>
        <v>0.0015772828988766987</v>
      </c>
      <c r="H22" s="152"/>
      <c r="I22">
        <v>1</v>
      </c>
      <c r="K22">
        <v>2</v>
      </c>
      <c r="L22" s="126">
        <f t="shared" si="1"/>
        <v>3</v>
      </c>
      <c r="M22" s="152">
        <f t="shared" si="3"/>
        <v>0.004103967168262654</v>
      </c>
    </row>
    <row r="23" spans="2:13" ht="15">
      <c r="B23" t="s">
        <v>786</v>
      </c>
      <c r="C23" s="126">
        <v>48010</v>
      </c>
      <c r="D23" s="126"/>
      <c r="E23" s="126"/>
      <c r="F23" s="126">
        <f t="shared" si="0"/>
        <v>48010</v>
      </c>
      <c r="G23" s="152">
        <f t="shared" si="2"/>
        <v>0.00017424149096886864</v>
      </c>
      <c r="H23" s="152"/>
      <c r="I23">
        <v>10</v>
      </c>
      <c r="L23" s="126">
        <f t="shared" si="1"/>
        <v>10</v>
      </c>
      <c r="M23" s="152">
        <f t="shared" si="3"/>
        <v>0.013679890560875513</v>
      </c>
    </row>
    <row r="24" spans="2:13" ht="15" thickBot="1">
      <c r="B24" s="155"/>
      <c r="C24" s="156">
        <f>SUM(C6:C23)</f>
        <v>174284119</v>
      </c>
      <c r="D24" s="156">
        <f>SUM(D6:D23)</f>
        <v>77268036</v>
      </c>
      <c r="E24" s="156">
        <f>SUM(E6:E23)</f>
        <v>23984973</v>
      </c>
      <c r="F24" s="156">
        <f>SUM(F6:F23)</f>
        <v>275537128</v>
      </c>
      <c r="G24" s="157"/>
      <c r="I24" s="151">
        <f>SUM(I6:I23)</f>
        <v>576</v>
      </c>
      <c r="J24" s="151">
        <f>SUM(J6:J23)</f>
        <v>101</v>
      </c>
      <c r="K24" s="151">
        <f>SUM(K6:K23)</f>
        <v>54</v>
      </c>
      <c r="L24" s="156">
        <f>SUM(L6:L23)</f>
        <v>731</v>
      </c>
      <c r="M24" s="157"/>
    </row>
    <row r="25" ht="15" thickTop="1"/>
    <row r="29" ht="15">
      <c r="B29" t="s">
        <v>3455</v>
      </c>
    </row>
    <row r="30" ht="15">
      <c r="F30" t="s">
        <v>3456</v>
      </c>
    </row>
    <row r="31" spans="2:6" ht="15">
      <c r="B31" t="s">
        <v>3441</v>
      </c>
      <c r="F31" s="159">
        <v>0.005260452081657719</v>
      </c>
    </row>
    <row r="32" spans="2:6" ht="15">
      <c r="B32" t="s">
        <v>3333</v>
      </c>
      <c r="F32" s="159">
        <v>0.001352522010821524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8239-971A-4266-9523-27AC2194D7CD}">
  <dimension ref="A2:P70"/>
  <sheetViews>
    <sheetView workbookViewId="0" topLeftCell="A65">
      <selection activeCell="A7" sqref="A7:XFD68"/>
    </sheetView>
  </sheetViews>
  <sheetFormatPr defaultColWidth="8.7109375" defaultRowHeight="15"/>
  <cols>
    <col min="1" max="1" width="0.85546875" style="22" customWidth="1"/>
    <col min="2" max="2" width="32.7109375" style="22" customWidth="1"/>
    <col min="3" max="3" width="15.28125" style="22" bestFit="1" customWidth="1"/>
    <col min="4" max="4" width="7.8515625" style="32" bestFit="1" customWidth="1"/>
    <col min="5" max="5" width="10.421875" style="32" customWidth="1"/>
    <col min="6" max="6" width="15.28125" style="32" customWidth="1"/>
    <col min="7" max="7" width="13.140625" style="32" customWidth="1"/>
    <col min="8" max="8" width="20.421875" style="27" customWidth="1"/>
    <col min="9" max="9" width="29.421875" style="22" bestFit="1" customWidth="1"/>
    <col min="10" max="10" width="12.7109375" style="94" customWidth="1"/>
    <col min="11" max="11" width="11.57421875" style="95" customWidth="1"/>
    <col min="12" max="12" width="12.7109375" style="96" customWidth="1"/>
    <col min="13" max="13" width="10.8515625" style="96" customWidth="1"/>
    <col min="14" max="14" width="12.7109375" style="96" bestFit="1" customWidth="1"/>
    <col min="15" max="15" width="57.28125" style="22" customWidth="1"/>
    <col min="16" max="16" width="8.7109375" style="22" customWidth="1"/>
    <col min="17" max="16384" width="8.7109375" style="22" customWidth="1"/>
  </cols>
  <sheetData>
    <row r="1" ht="4.5" customHeight="1" thickBot="1"/>
    <row r="2" spans="2:8" ht="15" customHeight="1">
      <c r="B2" s="97" t="s">
        <v>3388</v>
      </c>
      <c r="C2" s="23"/>
      <c r="D2" s="98"/>
      <c r="E2" s="25"/>
      <c r="F2" s="99"/>
      <c r="G2" s="98"/>
      <c r="H2" s="26"/>
    </row>
    <row r="3" spans="2:8" ht="15" customHeight="1">
      <c r="B3" s="100" t="s">
        <v>3283</v>
      </c>
      <c r="C3" s="31"/>
      <c r="D3" s="101"/>
      <c r="E3" s="33"/>
      <c r="F3" s="102"/>
      <c r="G3" s="101"/>
      <c r="H3" s="34"/>
    </row>
    <row r="4" spans="2:8" ht="15" customHeight="1" thickBot="1">
      <c r="B4" s="103" t="s">
        <v>3284</v>
      </c>
      <c r="C4" s="36"/>
      <c r="D4" s="104"/>
      <c r="E4" s="37"/>
      <c r="F4" s="39"/>
      <c r="G4" s="104"/>
      <c r="H4" s="105"/>
    </row>
    <row r="5" spans="1:14" s="47" customFormat="1" ht="43.8" thickBot="1">
      <c r="A5" s="40"/>
      <c r="B5" s="40" t="s">
        <v>3285</v>
      </c>
      <c r="C5" s="40" t="s">
        <v>3286</v>
      </c>
      <c r="D5" s="40" t="s">
        <v>3287</v>
      </c>
      <c r="E5" s="40" t="s">
        <v>3289</v>
      </c>
      <c r="F5" s="40" t="s">
        <v>3288</v>
      </c>
      <c r="G5" s="40" t="s">
        <v>3290</v>
      </c>
      <c r="H5" s="41" t="s">
        <v>3291</v>
      </c>
      <c r="I5" s="40" t="s">
        <v>3292</v>
      </c>
      <c r="J5" s="106" t="s">
        <v>3293</v>
      </c>
      <c r="K5" s="107" t="s">
        <v>71</v>
      </c>
      <c r="L5" s="108" t="s">
        <v>3294</v>
      </c>
      <c r="M5" s="108" t="s">
        <v>3295</v>
      </c>
      <c r="N5" s="108" t="s">
        <v>3296</v>
      </c>
    </row>
    <row r="6" spans="8:14" s="47" customFormat="1" ht="15" thickTop="1">
      <c r="H6" s="48"/>
      <c r="J6" s="109"/>
      <c r="K6" s="110"/>
      <c r="L6" s="111"/>
      <c r="M6" s="111"/>
      <c r="N6" s="111"/>
    </row>
    <row r="7" spans="2:15" s="47" customFormat="1" ht="15">
      <c r="B7" s="54" t="s">
        <v>3343</v>
      </c>
      <c r="C7" s="77" t="s">
        <v>3342</v>
      </c>
      <c r="D7" s="32" t="s">
        <v>3300</v>
      </c>
      <c r="E7" s="56">
        <v>43220</v>
      </c>
      <c r="F7" s="56">
        <v>43220</v>
      </c>
      <c r="G7" s="32" t="s">
        <v>3301</v>
      </c>
      <c r="H7" s="27" t="s">
        <v>3302</v>
      </c>
      <c r="I7" s="57" t="s">
        <v>3303</v>
      </c>
      <c r="J7" s="112">
        <v>201590</v>
      </c>
      <c r="K7" s="113">
        <v>1.2</v>
      </c>
      <c r="L7" s="111">
        <v>0</v>
      </c>
      <c r="M7" s="111">
        <v>0</v>
      </c>
      <c r="N7" s="111">
        <v>0</v>
      </c>
      <c r="O7" s="55" t="s">
        <v>3389</v>
      </c>
    </row>
    <row r="8" spans="2:14" ht="15">
      <c r="B8" s="54" t="s">
        <v>3343</v>
      </c>
      <c r="C8" s="77" t="s">
        <v>3342</v>
      </c>
      <c r="D8" s="32" t="s">
        <v>3305</v>
      </c>
      <c r="E8" s="70">
        <v>43546</v>
      </c>
      <c r="F8" s="70">
        <v>43550</v>
      </c>
      <c r="G8" s="32" t="s">
        <v>3323</v>
      </c>
      <c r="H8" s="27" t="s">
        <v>3318</v>
      </c>
      <c r="I8" s="114" t="s">
        <v>3319</v>
      </c>
      <c r="J8" s="94">
        <v>1580</v>
      </c>
      <c r="K8" s="95">
        <v>1.25</v>
      </c>
      <c r="L8" s="96">
        <f>-J8*K8</f>
        <v>-1975</v>
      </c>
      <c r="M8" s="96">
        <f>-(3.95)</f>
        <v>-3.95</v>
      </c>
      <c r="N8" s="96">
        <f>L8+M8</f>
        <v>-1978.95</v>
      </c>
    </row>
    <row r="9" spans="2:14" ht="15">
      <c r="B9" s="54" t="s">
        <v>3343</v>
      </c>
      <c r="C9" s="77" t="s">
        <v>3342</v>
      </c>
      <c r="D9" s="32" t="s">
        <v>3305</v>
      </c>
      <c r="E9" s="70">
        <v>43553</v>
      </c>
      <c r="F9" s="70">
        <v>43557</v>
      </c>
      <c r="G9" s="32" t="s">
        <v>3323</v>
      </c>
      <c r="H9" s="27" t="s">
        <v>3326</v>
      </c>
      <c r="I9" s="114" t="s">
        <v>3327</v>
      </c>
      <c r="J9" s="94">
        <v>4669</v>
      </c>
      <c r="K9" s="95">
        <v>1.319565</v>
      </c>
      <c r="L9" s="96">
        <f>-J9*K9</f>
        <v>-6161.048985</v>
      </c>
      <c r="M9" s="96">
        <f>-(12.32)</f>
        <v>-12.32</v>
      </c>
      <c r="N9" s="96">
        <f>L9+M9</f>
        <v>-6173.368985</v>
      </c>
    </row>
    <row r="10" spans="2:14" ht="15">
      <c r="B10" s="54" t="s">
        <v>3343</v>
      </c>
      <c r="C10" s="77" t="s">
        <v>3342</v>
      </c>
      <c r="D10" s="32" t="s">
        <v>3305</v>
      </c>
      <c r="E10" s="70">
        <v>43560</v>
      </c>
      <c r="F10" s="70">
        <v>43564</v>
      </c>
      <c r="G10" s="32" t="s">
        <v>3323</v>
      </c>
      <c r="H10" s="27" t="s">
        <v>3326</v>
      </c>
      <c r="I10" s="114" t="s">
        <v>3327</v>
      </c>
      <c r="J10" s="94">
        <v>2842</v>
      </c>
      <c r="K10" s="95">
        <v>1.35</v>
      </c>
      <c r="L10" s="96">
        <f>-J10*K10</f>
        <v>-3836.7000000000003</v>
      </c>
      <c r="M10" s="96">
        <f>-(7.67)</f>
        <v>-7.67</v>
      </c>
      <c r="N10" s="96">
        <f>L10+M10</f>
        <v>-3844.3700000000003</v>
      </c>
    </row>
    <row r="11" spans="2:14" ht="15">
      <c r="B11" s="54" t="s">
        <v>3343</v>
      </c>
      <c r="C11" s="77" t="s">
        <v>3342</v>
      </c>
      <c r="D11" s="32" t="s">
        <v>3305</v>
      </c>
      <c r="E11" s="70">
        <v>43748</v>
      </c>
      <c r="F11" s="70">
        <v>43752</v>
      </c>
      <c r="G11" s="32" t="s">
        <v>3323</v>
      </c>
      <c r="H11" s="27" t="s">
        <v>3326</v>
      </c>
      <c r="I11" s="114" t="s">
        <v>3327</v>
      </c>
      <c r="J11" s="94">
        <v>76775</v>
      </c>
      <c r="K11" s="95">
        <v>1.1</v>
      </c>
      <c r="L11" s="96">
        <f>-J11*K11</f>
        <v>-84452.5</v>
      </c>
      <c r="M11" s="96">
        <f>-SUM(43.95,168.91,6.15,1)</f>
        <v>-220.01000000000002</v>
      </c>
      <c r="N11" s="96">
        <f>L11+M11</f>
        <v>-84672.51</v>
      </c>
    </row>
    <row r="12" spans="2:14" ht="15">
      <c r="B12" s="54" t="s">
        <v>3343</v>
      </c>
      <c r="C12" s="77" t="s">
        <v>3342</v>
      </c>
      <c r="D12" s="32" t="s">
        <v>3305</v>
      </c>
      <c r="E12" s="70">
        <v>43755</v>
      </c>
      <c r="F12" s="70">
        <v>43759</v>
      </c>
      <c r="G12" s="27" t="s">
        <v>3312</v>
      </c>
      <c r="H12" s="27" t="s">
        <v>3312</v>
      </c>
      <c r="I12" s="114" t="s">
        <v>3313</v>
      </c>
      <c r="J12" s="94">
        <v>82631</v>
      </c>
      <c r="K12" s="95">
        <v>1.11</v>
      </c>
      <c r="L12" s="96">
        <f>-J12*K12</f>
        <v>-91720.41</v>
      </c>
      <c r="M12" s="96">
        <f>-SUM(43.15,183.44,6.04,1)</f>
        <v>-233.63</v>
      </c>
      <c r="N12" s="96">
        <f>L12+M12</f>
        <v>-91954.04000000001</v>
      </c>
    </row>
    <row r="13" spans="2:9" ht="15">
      <c r="B13" s="54"/>
      <c r="C13" s="77"/>
      <c r="E13" s="70"/>
      <c r="F13" s="70"/>
      <c r="G13" s="27"/>
      <c r="I13" s="114"/>
    </row>
    <row r="14" spans="2:10" ht="15" thickBot="1">
      <c r="B14" s="54"/>
      <c r="C14" s="77"/>
      <c r="E14" s="70"/>
      <c r="F14" s="70"/>
      <c r="G14" s="27"/>
      <c r="I14" s="115" t="s">
        <v>3314</v>
      </c>
      <c r="J14" s="116">
        <f>SUM(J7:J12)</f>
        <v>370087</v>
      </c>
    </row>
    <row r="15" spans="2:9" ht="15" thickTop="1">
      <c r="B15" s="54"/>
      <c r="C15" s="77"/>
      <c r="E15" s="70"/>
      <c r="F15" s="70"/>
      <c r="G15" s="27"/>
      <c r="I15" s="114"/>
    </row>
    <row r="16" spans="2:9" ht="15">
      <c r="B16" s="54"/>
      <c r="C16" s="77"/>
      <c r="E16" s="70"/>
      <c r="F16" s="70"/>
      <c r="G16" s="27"/>
      <c r="I16" s="114"/>
    </row>
    <row r="17" spans="2:9" ht="15">
      <c r="B17" s="54"/>
      <c r="C17" s="77"/>
      <c r="E17" s="70"/>
      <c r="F17" s="70"/>
      <c r="G17" s="27"/>
      <c r="I17" s="114"/>
    </row>
    <row r="18" spans="2:15" s="47" customFormat="1" ht="15">
      <c r="B18" s="54" t="s">
        <v>3355</v>
      </c>
      <c r="C18" s="77" t="s">
        <v>509</v>
      </c>
      <c r="D18" s="32" t="s">
        <v>3300</v>
      </c>
      <c r="E18" s="56">
        <v>43220</v>
      </c>
      <c r="F18" s="56">
        <v>43220</v>
      </c>
      <c r="G18" s="32" t="s">
        <v>3301</v>
      </c>
      <c r="H18" s="27" t="s">
        <v>3302</v>
      </c>
      <c r="I18" s="57" t="s">
        <v>3303</v>
      </c>
      <c r="J18" s="112">
        <v>2074123</v>
      </c>
      <c r="K18" s="113">
        <v>2.84</v>
      </c>
      <c r="L18" s="111">
        <v>0</v>
      </c>
      <c r="M18" s="111">
        <v>0</v>
      </c>
      <c r="N18" s="111">
        <v>0</v>
      </c>
      <c r="O18" s="55" t="s">
        <v>3389</v>
      </c>
    </row>
    <row r="19" spans="2:14" ht="15">
      <c r="B19" s="54" t="s">
        <v>3355</v>
      </c>
      <c r="C19" s="77" t="s">
        <v>509</v>
      </c>
      <c r="D19" s="32" t="s">
        <v>3311</v>
      </c>
      <c r="E19" s="70">
        <v>43327</v>
      </c>
      <c r="F19" s="70">
        <v>43329</v>
      </c>
      <c r="G19" s="32" t="s">
        <v>3317</v>
      </c>
      <c r="H19" s="27" t="s">
        <v>3318</v>
      </c>
      <c r="I19" s="57" t="s">
        <v>3319</v>
      </c>
      <c r="J19" s="94">
        <v>-1000000</v>
      </c>
      <c r="K19" s="95">
        <v>3.2</v>
      </c>
      <c r="L19" s="96">
        <f>-J19*K19</f>
        <v>3200000</v>
      </c>
      <c r="M19" s="96">
        <f>-6401-6.24-44.57</f>
        <v>-6451.8099999999995</v>
      </c>
      <c r="N19" s="96">
        <f aca="true" t="shared" si="0" ref="N19:N29">L19+M19</f>
        <v>3193548.19</v>
      </c>
    </row>
    <row r="20" spans="2:15" ht="15">
      <c r="B20" s="54" t="s">
        <v>3355</v>
      </c>
      <c r="C20" s="77" t="s">
        <v>509</v>
      </c>
      <c r="D20" s="32" t="s">
        <v>3390</v>
      </c>
      <c r="E20" s="70">
        <v>43342</v>
      </c>
      <c r="F20" s="70">
        <v>43342</v>
      </c>
      <c r="G20" s="32" t="s">
        <v>3301</v>
      </c>
      <c r="H20" s="27" t="s">
        <v>3302</v>
      </c>
      <c r="I20" s="57" t="s">
        <v>3303</v>
      </c>
      <c r="J20" s="94">
        <v>126476</v>
      </c>
      <c r="K20" s="95">
        <v>0</v>
      </c>
      <c r="L20" s="96">
        <f>J20*K20</f>
        <v>0</v>
      </c>
      <c r="M20" s="96">
        <v>0</v>
      </c>
      <c r="N20" s="96">
        <f t="shared" si="0"/>
        <v>0</v>
      </c>
      <c r="O20" s="22" t="s">
        <v>3391</v>
      </c>
    </row>
    <row r="21" spans="2:14" ht="15">
      <c r="B21" s="54" t="s">
        <v>3355</v>
      </c>
      <c r="C21" s="77" t="s">
        <v>509</v>
      </c>
      <c r="D21" s="32" t="s">
        <v>3311</v>
      </c>
      <c r="E21" s="70">
        <v>43347</v>
      </c>
      <c r="F21" s="70">
        <v>43348</v>
      </c>
      <c r="G21" s="32" t="s">
        <v>3323</v>
      </c>
      <c r="H21" s="27" t="s">
        <v>3326</v>
      </c>
      <c r="I21" s="114" t="s">
        <v>3327</v>
      </c>
      <c r="J21" s="94">
        <v>-489174</v>
      </c>
      <c r="K21" s="95">
        <v>3.7</v>
      </c>
      <c r="L21" s="96">
        <f aca="true" t="shared" si="1" ref="L21:L34">-J21*K21</f>
        <v>1809943.8</v>
      </c>
      <c r="M21" s="96">
        <f>-(45.05+6.31+3619.89+1)</f>
        <v>-3672.25</v>
      </c>
      <c r="N21" s="96">
        <f t="shared" si="0"/>
        <v>1806271.55</v>
      </c>
    </row>
    <row r="22" spans="2:14" ht="15">
      <c r="B22" s="54" t="s">
        <v>3355</v>
      </c>
      <c r="C22" s="77" t="s">
        <v>509</v>
      </c>
      <c r="D22" s="32" t="s">
        <v>3305</v>
      </c>
      <c r="E22" s="70">
        <v>43516</v>
      </c>
      <c r="F22" s="70">
        <v>43518</v>
      </c>
      <c r="G22" s="32" t="s">
        <v>3323</v>
      </c>
      <c r="H22" s="27" t="s">
        <v>3318</v>
      </c>
      <c r="I22" s="114" t="s">
        <v>3319</v>
      </c>
      <c r="J22" s="94">
        <v>157234</v>
      </c>
      <c r="K22" s="95">
        <v>2.2</v>
      </c>
      <c r="L22" s="96">
        <f t="shared" si="1"/>
        <v>-345914.80000000005</v>
      </c>
      <c r="M22" s="96">
        <f>-(691.83+1)</f>
        <v>-692.83</v>
      </c>
      <c r="N22" s="96">
        <f t="shared" si="0"/>
        <v>-346607.63000000006</v>
      </c>
    </row>
    <row r="23" spans="2:14" ht="15">
      <c r="B23" s="54" t="s">
        <v>3355</v>
      </c>
      <c r="C23" s="77" t="s">
        <v>509</v>
      </c>
      <c r="D23" s="32" t="s">
        <v>11</v>
      </c>
      <c r="E23" s="70">
        <v>43661</v>
      </c>
      <c r="F23" s="70">
        <v>43663</v>
      </c>
      <c r="G23" s="32" t="s">
        <v>3301</v>
      </c>
      <c r="H23" s="27" t="s">
        <v>3302</v>
      </c>
      <c r="I23" s="57" t="s">
        <v>3303</v>
      </c>
      <c r="J23" s="94">
        <v>-217485</v>
      </c>
      <c r="K23" s="95">
        <v>3.25</v>
      </c>
      <c r="L23" s="96">
        <f t="shared" si="1"/>
        <v>706826.25</v>
      </c>
      <c r="M23" s="96">
        <f>-1413.65-1</f>
        <v>-1414.65</v>
      </c>
      <c r="N23" s="96">
        <f t="shared" si="0"/>
        <v>705411.6</v>
      </c>
    </row>
    <row r="24" spans="2:16" ht="25.2">
      <c r="B24" s="54" t="s">
        <v>3355</v>
      </c>
      <c r="C24" s="74" t="s">
        <v>509</v>
      </c>
      <c r="D24" s="32" t="s">
        <v>11</v>
      </c>
      <c r="E24" s="70">
        <v>43714</v>
      </c>
      <c r="F24" s="70">
        <v>43718</v>
      </c>
      <c r="G24" s="32" t="s">
        <v>3301</v>
      </c>
      <c r="H24" s="27" t="s">
        <v>3302</v>
      </c>
      <c r="I24" s="57" t="s">
        <v>3303</v>
      </c>
      <c r="J24" s="96">
        <v>-9361</v>
      </c>
      <c r="K24" s="117">
        <v>3.3265624</v>
      </c>
      <c r="L24" s="96">
        <f t="shared" si="1"/>
        <v>31139.950626399997</v>
      </c>
      <c r="M24" s="96">
        <f>-SUM(44.69,62.28,6.26,1)</f>
        <v>-114.23</v>
      </c>
      <c r="N24" s="96">
        <f t="shared" si="0"/>
        <v>31025.720626399998</v>
      </c>
      <c r="P24" s="118"/>
    </row>
    <row r="25" spans="2:14" ht="15">
      <c r="B25" s="54" t="s">
        <v>3355</v>
      </c>
      <c r="C25" s="77" t="s">
        <v>509</v>
      </c>
      <c r="D25" s="32" t="s">
        <v>3311</v>
      </c>
      <c r="E25" s="70">
        <v>43796</v>
      </c>
      <c r="F25" s="119">
        <v>43798</v>
      </c>
      <c r="G25" s="32" t="s">
        <v>3301</v>
      </c>
      <c r="H25" s="27" t="s">
        <v>3302</v>
      </c>
      <c r="I25" s="57" t="s">
        <v>3303</v>
      </c>
      <c r="J25" s="94">
        <v>-33105</v>
      </c>
      <c r="K25" s="95">
        <v>3.205</v>
      </c>
      <c r="L25" s="96">
        <f t="shared" si="1"/>
        <v>106101.52500000001</v>
      </c>
      <c r="M25" s="96">
        <f>-SUM(42.57,212.2,5.96,1)</f>
        <v>-261.72999999999996</v>
      </c>
      <c r="N25" s="96">
        <f t="shared" si="0"/>
        <v>105839.79500000001</v>
      </c>
    </row>
    <row r="26" spans="2:14" ht="15">
      <c r="B26" s="54" t="s">
        <v>3355</v>
      </c>
      <c r="C26" s="77" t="s">
        <v>509</v>
      </c>
      <c r="D26" s="32" t="s">
        <v>3311</v>
      </c>
      <c r="E26" s="70">
        <v>43797</v>
      </c>
      <c r="F26" s="119">
        <v>43801</v>
      </c>
      <c r="G26" s="32" t="s">
        <v>3301</v>
      </c>
      <c r="H26" s="27" t="s">
        <v>3302</v>
      </c>
      <c r="I26" s="57" t="s">
        <v>3303</v>
      </c>
      <c r="J26" s="94">
        <v>-64792</v>
      </c>
      <c r="K26" s="95">
        <v>3.205</v>
      </c>
      <c r="L26" s="96">
        <f t="shared" si="1"/>
        <v>207658.36000000002</v>
      </c>
      <c r="M26" s="96">
        <f>-SUM(42.65,415.32,5.97,1)</f>
        <v>-464.94</v>
      </c>
      <c r="N26" s="96">
        <f t="shared" si="0"/>
        <v>207193.42</v>
      </c>
    </row>
    <row r="27" spans="2:14" ht="15">
      <c r="B27" s="54" t="s">
        <v>3355</v>
      </c>
      <c r="C27" s="77" t="s">
        <v>509</v>
      </c>
      <c r="D27" s="32" t="s">
        <v>3311</v>
      </c>
      <c r="E27" s="70">
        <v>43803</v>
      </c>
      <c r="F27" s="119">
        <v>43805</v>
      </c>
      <c r="G27" s="32" t="s">
        <v>3301</v>
      </c>
      <c r="H27" s="27" t="s">
        <v>3302</v>
      </c>
      <c r="I27" s="57" t="s">
        <v>3303</v>
      </c>
      <c r="J27" s="94">
        <v>-46941</v>
      </c>
      <c r="K27" s="95">
        <v>3.2351</v>
      </c>
      <c r="L27" s="96">
        <f t="shared" si="1"/>
        <v>151858.8291</v>
      </c>
      <c r="M27" s="96">
        <f>-SUM(42.24,303.72,5.91,1)</f>
        <v>-352.87000000000006</v>
      </c>
      <c r="N27" s="96">
        <f t="shared" si="0"/>
        <v>151505.9591</v>
      </c>
    </row>
    <row r="28" spans="2:14" ht="15">
      <c r="B28" s="54" t="s">
        <v>3355</v>
      </c>
      <c r="C28" s="77" t="s">
        <v>509</v>
      </c>
      <c r="D28" s="32" t="s">
        <v>3311</v>
      </c>
      <c r="E28" s="70">
        <v>43808</v>
      </c>
      <c r="F28" s="119">
        <v>43810</v>
      </c>
      <c r="G28" s="32" t="s">
        <v>3317</v>
      </c>
      <c r="H28" s="27" t="s">
        <v>3318</v>
      </c>
      <c r="I28" s="57" t="s">
        <v>3319</v>
      </c>
      <c r="J28" s="94">
        <v>-7212</v>
      </c>
      <c r="K28" s="95">
        <v>3.24</v>
      </c>
      <c r="L28" s="96">
        <f t="shared" si="1"/>
        <v>23366.88</v>
      </c>
      <c r="M28" s="96">
        <f>-SUM(42.25,46.73,5.91,1)</f>
        <v>-95.88999999999999</v>
      </c>
      <c r="N28" s="96">
        <f t="shared" si="0"/>
        <v>23270.99</v>
      </c>
    </row>
    <row r="29" spans="2:14" ht="15">
      <c r="B29" s="54" t="s">
        <v>3355</v>
      </c>
      <c r="C29" s="91" t="s">
        <v>509</v>
      </c>
      <c r="D29" s="32" t="s">
        <v>3311</v>
      </c>
      <c r="E29" s="70">
        <v>43811</v>
      </c>
      <c r="F29" s="70">
        <v>43815</v>
      </c>
      <c r="G29" s="32" t="s">
        <v>3301</v>
      </c>
      <c r="H29" s="27" t="s">
        <v>3302</v>
      </c>
      <c r="I29" s="57" t="s">
        <v>3303</v>
      </c>
      <c r="J29" s="94">
        <v>-11017</v>
      </c>
      <c r="K29" s="95">
        <v>3.24</v>
      </c>
      <c r="L29" s="96">
        <f t="shared" si="1"/>
        <v>35695.08</v>
      </c>
      <c r="M29" s="96">
        <f>-SUM(41.67,71.39,5.83,1)</f>
        <v>-119.89</v>
      </c>
      <c r="N29" s="96">
        <f t="shared" si="0"/>
        <v>35575.19</v>
      </c>
    </row>
    <row r="30" spans="2:14" ht="15">
      <c r="B30" s="54" t="s">
        <v>3355</v>
      </c>
      <c r="C30" s="91" t="s">
        <v>509</v>
      </c>
      <c r="D30" s="32" t="s">
        <v>3311</v>
      </c>
      <c r="E30" s="70">
        <v>43817</v>
      </c>
      <c r="F30" s="70">
        <v>43819</v>
      </c>
      <c r="G30" s="32" t="s">
        <v>3301</v>
      </c>
      <c r="H30" s="27" t="s">
        <v>3302</v>
      </c>
      <c r="I30" s="57" t="s">
        <v>3303</v>
      </c>
      <c r="J30" s="94">
        <v>-32812</v>
      </c>
      <c r="K30" s="95">
        <v>3.14</v>
      </c>
      <c r="L30" s="96">
        <f t="shared" si="1"/>
        <v>103029.68000000001</v>
      </c>
      <c r="M30" s="96">
        <f>42.6+206.06+5.96+1</f>
        <v>255.62</v>
      </c>
      <c r="N30" s="96">
        <f>L30-M30</f>
        <v>102774.06000000001</v>
      </c>
    </row>
    <row r="31" spans="2:14" ht="15">
      <c r="B31" s="54" t="s">
        <v>3355</v>
      </c>
      <c r="C31" s="91" t="s">
        <v>509</v>
      </c>
      <c r="D31" s="32" t="s">
        <v>3311</v>
      </c>
      <c r="E31" s="70">
        <v>43818</v>
      </c>
      <c r="F31" s="70">
        <v>43822</v>
      </c>
      <c r="G31" s="32" t="s">
        <v>3301</v>
      </c>
      <c r="H31" s="27" t="s">
        <v>3302</v>
      </c>
      <c r="I31" s="57" t="s">
        <v>3303</v>
      </c>
      <c r="J31" s="94">
        <v>-82855</v>
      </c>
      <c r="K31" s="95">
        <v>3.14</v>
      </c>
      <c r="L31" s="96">
        <f t="shared" si="1"/>
        <v>260164.7</v>
      </c>
      <c r="M31" s="96">
        <f>520.33+42.55+5.96+1</f>
        <v>569.84</v>
      </c>
      <c r="N31" s="96">
        <f>L31-M31</f>
        <v>259594.86000000002</v>
      </c>
    </row>
    <row r="32" spans="2:14" ht="15">
      <c r="B32" s="54" t="s">
        <v>3355</v>
      </c>
      <c r="C32" s="91" t="s">
        <v>509</v>
      </c>
      <c r="D32" s="32" t="s">
        <v>3311</v>
      </c>
      <c r="E32" s="70">
        <v>43854</v>
      </c>
      <c r="F32" s="70">
        <v>43858</v>
      </c>
      <c r="G32" s="32" t="s">
        <v>3301</v>
      </c>
      <c r="H32" s="27" t="s">
        <v>3302</v>
      </c>
      <c r="I32" s="57" t="s">
        <v>3303</v>
      </c>
      <c r="J32" s="120">
        <v>-147413</v>
      </c>
      <c r="K32" s="22">
        <v>3.8370833</v>
      </c>
      <c r="L32" s="96">
        <f t="shared" si="1"/>
        <v>565635.9605029001</v>
      </c>
      <c r="M32" s="96">
        <f>SUM(42.13,1131.28,5.9,1)</f>
        <v>1180.3100000000002</v>
      </c>
      <c r="N32" s="96">
        <f>L32-M32</f>
        <v>564455.6505029</v>
      </c>
    </row>
    <row r="33" spans="2:14" ht="15">
      <c r="B33" s="54" t="s">
        <v>3355</v>
      </c>
      <c r="C33" s="91" t="s">
        <v>509</v>
      </c>
      <c r="D33" s="32" t="s">
        <v>3311</v>
      </c>
      <c r="E33" s="70">
        <v>43859</v>
      </c>
      <c r="F33" s="70">
        <v>43861</v>
      </c>
      <c r="G33" s="32" t="s">
        <v>3301</v>
      </c>
      <c r="H33" s="27" t="s">
        <v>3302</v>
      </c>
      <c r="I33" s="57" t="s">
        <v>3303</v>
      </c>
      <c r="J33" s="120">
        <v>-127559</v>
      </c>
      <c r="K33" s="95">
        <v>3.81</v>
      </c>
      <c r="L33" s="96">
        <f t="shared" si="1"/>
        <v>485999.79</v>
      </c>
      <c r="M33" s="96">
        <f>SUM(42.42,972,5.94,1)</f>
        <v>1021.36</v>
      </c>
      <c r="N33" s="96">
        <f>L33-M33</f>
        <v>484978.43</v>
      </c>
    </row>
    <row r="34" spans="2:14" ht="15">
      <c r="B34" s="54" t="s">
        <v>3355</v>
      </c>
      <c r="C34" s="91" t="s">
        <v>509</v>
      </c>
      <c r="D34" s="32" t="s">
        <v>3311</v>
      </c>
      <c r="E34" s="70">
        <v>43860</v>
      </c>
      <c r="F34" s="70">
        <v>43864</v>
      </c>
      <c r="G34" s="32" t="s">
        <v>3301</v>
      </c>
      <c r="H34" s="27" t="s">
        <v>3302</v>
      </c>
      <c r="I34" s="57" t="s">
        <v>3303</v>
      </c>
      <c r="J34" s="120">
        <v>-27423</v>
      </c>
      <c r="K34" s="95">
        <v>3.81</v>
      </c>
      <c r="L34" s="96">
        <f t="shared" si="1"/>
        <v>104481.63</v>
      </c>
      <c r="M34" s="96">
        <f>SUM(41.99,208.96,5.88,1)</f>
        <v>257.83000000000004</v>
      </c>
      <c r="N34" s="96">
        <f>L34-M34</f>
        <v>104223.8</v>
      </c>
    </row>
    <row r="35" spans="2:11" ht="15">
      <c r="B35" s="54"/>
      <c r="C35" s="91"/>
      <c r="E35" s="70"/>
      <c r="F35" s="70"/>
      <c r="I35" s="57"/>
      <c r="J35" s="120"/>
      <c r="K35" s="22"/>
    </row>
    <row r="36" spans="2:11" ht="15" thickBot="1">
      <c r="B36" s="54"/>
      <c r="C36" s="91"/>
      <c r="E36" s="70"/>
      <c r="F36" s="70"/>
      <c r="I36" s="115" t="s">
        <v>3314</v>
      </c>
      <c r="J36" s="116">
        <f>SUM(J18:J34)</f>
        <v>60684</v>
      </c>
      <c r="K36" s="22"/>
    </row>
    <row r="37" spans="2:11" ht="15" thickTop="1">
      <c r="B37" s="54"/>
      <c r="C37" s="91"/>
      <c r="E37" s="70"/>
      <c r="F37" s="70"/>
      <c r="I37" s="57"/>
      <c r="J37" s="120"/>
      <c r="K37" s="22"/>
    </row>
    <row r="38" spans="2:11" ht="15">
      <c r="B38" s="54"/>
      <c r="C38" s="91"/>
      <c r="E38" s="70"/>
      <c r="F38" s="70"/>
      <c r="I38" s="57"/>
      <c r="J38" s="120"/>
      <c r="K38" s="22"/>
    </row>
    <row r="39" spans="2:11" ht="15">
      <c r="B39" s="54"/>
      <c r="C39" s="91"/>
      <c r="E39" s="70"/>
      <c r="F39" s="70"/>
      <c r="I39" s="57"/>
      <c r="J39" s="120"/>
      <c r="K39" s="22"/>
    </row>
    <row r="40" spans="2:15" s="47" customFormat="1" ht="25.2">
      <c r="B40" s="54" t="s">
        <v>3392</v>
      </c>
      <c r="C40" s="74" t="s">
        <v>3357</v>
      </c>
      <c r="D40" s="32" t="s">
        <v>3300</v>
      </c>
      <c r="E40" s="56">
        <v>43220</v>
      </c>
      <c r="F40" s="56">
        <v>43220</v>
      </c>
      <c r="G40" s="32" t="s">
        <v>3301</v>
      </c>
      <c r="H40" s="27" t="s">
        <v>3302</v>
      </c>
      <c r="I40" s="57" t="s">
        <v>3303</v>
      </c>
      <c r="J40" s="112">
        <v>10511360</v>
      </c>
      <c r="K40" s="113">
        <v>0.0021</v>
      </c>
      <c r="L40" s="111">
        <v>0</v>
      </c>
      <c r="M40" s="111">
        <v>0</v>
      </c>
      <c r="N40" s="111">
        <v>0</v>
      </c>
      <c r="O40" s="55" t="s">
        <v>3389</v>
      </c>
    </row>
    <row r="41" spans="2:15" ht="25.2">
      <c r="B41" s="54" t="s">
        <v>3392</v>
      </c>
      <c r="C41" s="74" t="s">
        <v>3357</v>
      </c>
      <c r="D41" s="32" t="s">
        <v>3305</v>
      </c>
      <c r="E41" s="70" t="s">
        <v>3393</v>
      </c>
      <c r="F41" s="70">
        <v>43515</v>
      </c>
      <c r="G41" s="32" t="s">
        <v>3323</v>
      </c>
      <c r="H41" s="27" t="s">
        <v>3326</v>
      </c>
      <c r="I41" s="114" t="s">
        <v>3327</v>
      </c>
      <c r="J41" s="94">
        <v>1144979</v>
      </c>
      <c r="K41" s="95">
        <v>0.01</v>
      </c>
      <c r="L41" s="96">
        <f aca="true" t="shared" si="2" ref="L41:L48">-J41*K41</f>
        <v>-11449.79</v>
      </c>
      <c r="M41" s="96">
        <f>-(22.9+1)</f>
        <v>-23.9</v>
      </c>
      <c r="N41" s="96">
        <f aca="true" t="shared" si="3" ref="N41:N48">L41+M41</f>
        <v>-11473.69</v>
      </c>
      <c r="O41" s="121"/>
    </row>
    <row r="42" spans="2:15" ht="25.2">
      <c r="B42" s="54" t="s">
        <v>3392</v>
      </c>
      <c r="C42" s="74" t="s">
        <v>3357</v>
      </c>
      <c r="D42" s="32" t="s">
        <v>3305</v>
      </c>
      <c r="E42" s="70">
        <v>43525</v>
      </c>
      <c r="F42" s="70">
        <v>43529</v>
      </c>
      <c r="G42" s="32" t="s">
        <v>3323</v>
      </c>
      <c r="H42" s="27" t="s">
        <v>3318</v>
      </c>
      <c r="I42" s="114" t="s">
        <v>3319</v>
      </c>
      <c r="J42" s="94">
        <v>623164</v>
      </c>
      <c r="K42" s="95">
        <v>0.01</v>
      </c>
      <c r="L42" s="96">
        <f t="shared" si="2"/>
        <v>-6231.64</v>
      </c>
      <c r="M42" s="96">
        <f>-(12.46+1)</f>
        <v>-13.46</v>
      </c>
      <c r="N42" s="96">
        <f t="shared" si="3"/>
        <v>-6245.1</v>
      </c>
      <c r="O42" s="121"/>
    </row>
    <row r="43" spans="2:14" ht="25.2">
      <c r="B43" s="54" t="s">
        <v>3392</v>
      </c>
      <c r="C43" s="74" t="s">
        <v>3357</v>
      </c>
      <c r="D43" s="32" t="s">
        <v>3305</v>
      </c>
      <c r="E43" s="70">
        <v>43532</v>
      </c>
      <c r="F43" s="70">
        <v>43536</v>
      </c>
      <c r="G43" s="32" t="s">
        <v>3323</v>
      </c>
      <c r="H43" s="27" t="s">
        <v>3326</v>
      </c>
      <c r="I43" s="114" t="s">
        <v>3327</v>
      </c>
      <c r="J43" s="94">
        <v>4525571</v>
      </c>
      <c r="K43" s="95">
        <v>0.0105</v>
      </c>
      <c r="L43" s="96">
        <f t="shared" si="2"/>
        <v>-47518.495500000005</v>
      </c>
      <c r="M43" s="96">
        <f>-(95.04+1)</f>
        <v>-96.04</v>
      </c>
      <c r="N43" s="96">
        <f t="shared" si="3"/>
        <v>-47614.535500000005</v>
      </c>
    </row>
    <row r="44" spans="2:14" ht="25.2">
      <c r="B44" s="54" t="s">
        <v>3392</v>
      </c>
      <c r="C44" s="74" t="s">
        <v>3357</v>
      </c>
      <c r="D44" s="32" t="s">
        <v>3305</v>
      </c>
      <c r="E44" s="70">
        <v>43539</v>
      </c>
      <c r="F44" s="70">
        <v>43543</v>
      </c>
      <c r="G44" s="32" t="s">
        <v>3323</v>
      </c>
      <c r="H44" s="27" t="s">
        <v>3326</v>
      </c>
      <c r="I44" s="114" t="s">
        <v>3327</v>
      </c>
      <c r="J44" s="94">
        <v>205401</v>
      </c>
      <c r="K44" s="95">
        <v>0.0105</v>
      </c>
      <c r="L44" s="96">
        <f t="shared" si="2"/>
        <v>-2156.7105</v>
      </c>
      <c r="M44" s="96">
        <f>-(4.31+1)</f>
        <v>-5.31</v>
      </c>
      <c r="N44" s="96">
        <f t="shared" si="3"/>
        <v>-2162.0205</v>
      </c>
    </row>
    <row r="45" spans="2:15" ht="25.2">
      <c r="B45" s="54" t="s">
        <v>3392</v>
      </c>
      <c r="C45" s="74" t="s">
        <v>3357</v>
      </c>
      <c r="D45" s="32" t="s">
        <v>3305</v>
      </c>
      <c r="E45" s="70">
        <v>43539</v>
      </c>
      <c r="F45" s="70">
        <v>43543</v>
      </c>
      <c r="G45" s="32" t="s">
        <v>3323</v>
      </c>
      <c r="H45" s="27" t="s">
        <v>3318</v>
      </c>
      <c r="I45" s="114" t="s">
        <v>3319</v>
      </c>
      <c r="J45" s="94">
        <v>232788</v>
      </c>
      <c r="K45" s="95">
        <v>0.01028</v>
      </c>
      <c r="L45" s="96">
        <f t="shared" si="2"/>
        <v>-2393.0606399999997</v>
      </c>
      <c r="M45" s="96">
        <f>-(4.79+1)</f>
        <v>-5.79</v>
      </c>
      <c r="N45" s="96">
        <f t="shared" si="3"/>
        <v>-2398.8506399999997</v>
      </c>
      <c r="O45" s="121"/>
    </row>
    <row r="46" spans="2:14" ht="25.2">
      <c r="B46" s="54" t="s">
        <v>3392</v>
      </c>
      <c r="C46" s="74" t="s">
        <v>3357</v>
      </c>
      <c r="D46" s="32" t="s">
        <v>3305</v>
      </c>
      <c r="E46" s="70">
        <v>43543</v>
      </c>
      <c r="F46" s="70">
        <v>43545</v>
      </c>
      <c r="G46" s="32" t="s">
        <v>3323</v>
      </c>
      <c r="H46" s="27" t="s">
        <v>3318</v>
      </c>
      <c r="I46" s="114" t="s">
        <v>3319</v>
      </c>
      <c r="J46" s="94">
        <v>690173</v>
      </c>
      <c r="K46" s="95">
        <v>0.011452</v>
      </c>
      <c r="L46" s="96">
        <f t="shared" si="2"/>
        <v>-7903.861196</v>
      </c>
      <c r="M46" s="96">
        <f>-(15.81+0)</f>
        <v>-15.81</v>
      </c>
      <c r="N46" s="96">
        <f t="shared" si="3"/>
        <v>-7919.671196</v>
      </c>
    </row>
    <row r="47" spans="2:14" ht="25.2">
      <c r="B47" s="54" t="s">
        <v>3392</v>
      </c>
      <c r="C47" s="74" t="s">
        <v>3357</v>
      </c>
      <c r="D47" s="32" t="s">
        <v>3305</v>
      </c>
      <c r="E47" s="70">
        <v>43553</v>
      </c>
      <c r="F47" s="70">
        <v>43557</v>
      </c>
      <c r="G47" s="32" t="s">
        <v>3323</v>
      </c>
      <c r="H47" s="27" t="s">
        <v>3326</v>
      </c>
      <c r="I47" s="114" t="s">
        <v>3327</v>
      </c>
      <c r="J47" s="94">
        <v>725849</v>
      </c>
      <c r="K47" s="95">
        <v>0.0115</v>
      </c>
      <c r="L47" s="96">
        <f t="shared" si="2"/>
        <v>-8347.2635</v>
      </c>
      <c r="M47" s="96">
        <f>-(16.69+0)</f>
        <v>-16.69</v>
      </c>
      <c r="N47" s="96">
        <f t="shared" si="3"/>
        <v>-8363.9535</v>
      </c>
    </row>
    <row r="48" spans="2:14" ht="25.2">
      <c r="B48" s="54" t="s">
        <v>3392</v>
      </c>
      <c r="C48" s="74" t="s">
        <v>3357</v>
      </c>
      <c r="D48" s="32" t="s">
        <v>3305</v>
      </c>
      <c r="E48" s="70">
        <v>43557</v>
      </c>
      <c r="F48" s="70">
        <v>43559</v>
      </c>
      <c r="G48" s="32" t="s">
        <v>3323</v>
      </c>
      <c r="H48" s="27" t="s">
        <v>3326</v>
      </c>
      <c r="I48" s="114" t="s">
        <v>3327</v>
      </c>
      <c r="J48" s="94">
        <v>302384</v>
      </c>
      <c r="K48" s="95">
        <v>0.0115</v>
      </c>
      <c r="L48" s="96">
        <f t="shared" si="2"/>
        <v>-3477.416</v>
      </c>
      <c r="M48" s="96">
        <f>-(6.95+0)</f>
        <v>-6.95</v>
      </c>
      <c r="N48" s="96">
        <f t="shared" si="3"/>
        <v>-3484.366</v>
      </c>
    </row>
    <row r="49" spans="2:9" ht="15">
      <c r="B49" s="54"/>
      <c r="C49" s="74"/>
      <c r="E49" s="70"/>
      <c r="F49" s="70"/>
      <c r="I49" s="114"/>
    </row>
    <row r="50" spans="2:10" ht="15" thickBot="1">
      <c r="B50" s="54"/>
      <c r="C50" s="74"/>
      <c r="E50" s="70"/>
      <c r="F50" s="70"/>
      <c r="I50" s="115" t="s">
        <v>3314</v>
      </c>
      <c r="J50" s="116">
        <f>SUM(J40:J48)</f>
        <v>18961669</v>
      </c>
    </row>
    <row r="51" spans="2:9" ht="15" thickTop="1">
      <c r="B51" s="54"/>
      <c r="C51" s="74"/>
      <c r="E51" s="70"/>
      <c r="F51" s="70"/>
      <c r="I51" s="114"/>
    </row>
    <row r="52" spans="2:9" ht="15">
      <c r="B52" s="54"/>
      <c r="C52" s="74"/>
      <c r="E52" s="70"/>
      <c r="F52" s="70"/>
      <c r="I52" s="114"/>
    </row>
    <row r="53" spans="2:9" ht="15">
      <c r="B53" s="54"/>
      <c r="C53" s="74"/>
      <c r="E53" s="70"/>
      <c r="F53" s="70"/>
      <c r="I53" s="114"/>
    </row>
    <row r="54" spans="2:14" ht="15">
      <c r="B54" s="77" t="s">
        <v>3394</v>
      </c>
      <c r="C54" s="77" t="s">
        <v>3360</v>
      </c>
      <c r="D54" s="32" t="s">
        <v>3305</v>
      </c>
      <c r="E54" s="70">
        <v>43546</v>
      </c>
      <c r="F54" s="70">
        <v>43550</v>
      </c>
      <c r="G54" s="32" t="s">
        <v>3323</v>
      </c>
      <c r="H54" s="27" t="s">
        <v>3318</v>
      </c>
      <c r="I54" s="114" t="s">
        <v>3319</v>
      </c>
      <c r="J54" s="94">
        <v>239506</v>
      </c>
      <c r="K54" s="95">
        <v>0.8</v>
      </c>
      <c r="L54" s="96">
        <f>-J54*K54</f>
        <v>-191604.80000000002</v>
      </c>
      <c r="M54" s="96">
        <f>-(383.21+1)</f>
        <v>-384.21</v>
      </c>
      <c r="N54" s="96">
        <f>L54+M54</f>
        <v>-191989.01</v>
      </c>
    </row>
    <row r="55" spans="2:14" ht="15">
      <c r="B55" s="77" t="s">
        <v>3394</v>
      </c>
      <c r="C55" s="77" t="s">
        <v>3360</v>
      </c>
      <c r="D55" s="32" t="s">
        <v>3305</v>
      </c>
      <c r="E55" s="70">
        <v>43584</v>
      </c>
      <c r="F55" s="70">
        <v>43586</v>
      </c>
      <c r="G55" s="32" t="s">
        <v>3323</v>
      </c>
      <c r="H55" s="27" t="s">
        <v>3318</v>
      </c>
      <c r="I55" s="114" t="s">
        <v>3319</v>
      </c>
      <c r="J55" s="94">
        <v>497622</v>
      </c>
      <c r="K55" s="95">
        <v>0.84</v>
      </c>
      <c r="L55" s="96">
        <f>-J55*K55</f>
        <v>-418002.48</v>
      </c>
      <c r="M55" s="96">
        <f>-(836.01+1)</f>
        <v>-837.01</v>
      </c>
      <c r="N55" s="96">
        <f>L55+M55</f>
        <v>-418839.49</v>
      </c>
    </row>
    <row r="56" spans="2:9" ht="15">
      <c r="B56" s="77"/>
      <c r="C56" s="77"/>
      <c r="E56" s="70"/>
      <c r="F56" s="70"/>
      <c r="I56" s="114"/>
    </row>
    <row r="57" spans="2:10" ht="15" thickBot="1">
      <c r="B57" s="77"/>
      <c r="C57" s="77"/>
      <c r="E57" s="70"/>
      <c r="F57" s="70"/>
      <c r="I57" s="115" t="s">
        <v>3314</v>
      </c>
      <c r="J57" s="116">
        <f>SUM(J54:J55)</f>
        <v>737128</v>
      </c>
    </row>
    <row r="58" spans="2:9" ht="15" thickTop="1">
      <c r="B58" s="77"/>
      <c r="C58" s="77"/>
      <c r="E58" s="70"/>
      <c r="F58" s="70"/>
      <c r="I58" s="114"/>
    </row>
    <row r="59" spans="2:9" ht="15">
      <c r="B59" s="77"/>
      <c r="C59" s="77"/>
      <c r="E59" s="70"/>
      <c r="F59" s="70"/>
      <c r="I59" s="114"/>
    </row>
    <row r="60" spans="2:9" ht="15">
      <c r="B60" s="77"/>
      <c r="C60" s="77"/>
      <c r="E60" s="70"/>
      <c r="F60" s="70"/>
      <c r="I60" s="114"/>
    </row>
    <row r="61" spans="2:14" ht="15">
      <c r="B61" s="54" t="s">
        <v>3335</v>
      </c>
      <c r="C61" s="91" t="s">
        <v>3329</v>
      </c>
      <c r="D61" s="32" t="s">
        <v>3305</v>
      </c>
      <c r="E61" s="70">
        <v>43811</v>
      </c>
      <c r="F61" s="70">
        <v>43815</v>
      </c>
      <c r="G61" s="32" t="s">
        <v>119</v>
      </c>
      <c r="H61" s="27" t="s">
        <v>3395</v>
      </c>
      <c r="I61" s="57" t="s">
        <v>3334</v>
      </c>
      <c r="J61" s="94">
        <v>1485052</v>
      </c>
      <c r="K61" s="95">
        <v>0.355</v>
      </c>
      <c r="L61" s="96">
        <f>-J61*K61</f>
        <v>-527193.46</v>
      </c>
      <c r="M61" s="96">
        <f>-SUM(41.67,1054.39,5.83,2642.24)</f>
        <v>-3744.13</v>
      </c>
      <c r="N61" s="96">
        <f>L61+M61</f>
        <v>-530937.59</v>
      </c>
    </row>
    <row r="62" spans="2:14" ht="15">
      <c r="B62" s="54" t="s">
        <v>3335</v>
      </c>
      <c r="C62" s="91" t="s">
        <v>3329</v>
      </c>
      <c r="D62" s="32" t="s">
        <v>3305</v>
      </c>
      <c r="E62" s="70">
        <v>43811</v>
      </c>
      <c r="F62" s="70">
        <v>43815</v>
      </c>
      <c r="G62" s="32" t="s">
        <v>119</v>
      </c>
      <c r="H62" s="27" t="s">
        <v>3395</v>
      </c>
      <c r="I62" s="57" t="s">
        <v>3334</v>
      </c>
      <c r="J62" s="94">
        <v>63095</v>
      </c>
      <c r="K62" s="95">
        <v>0.355</v>
      </c>
      <c r="L62" s="96">
        <f>-J62*K62</f>
        <v>-22398.725</v>
      </c>
      <c r="M62" s="96">
        <f>44.8+113.22+42.55+5.96</f>
        <v>206.53</v>
      </c>
      <c r="N62" s="96">
        <f>L62-M62</f>
        <v>-22605.254999999997</v>
      </c>
    </row>
    <row r="64" spans="9:10" ht="15" thickBot="1">
      <c r="I64" s="115" t="s">
        <v>3314</v>
      </c>
      <c r="J64" s="116">
        <f>SUM(J61:J62)</f>
        <v>1548147</v>
      </c>
    </row>
    <row r="65" ht="15" thickTop="1"/>
    <row r="68" spans="2:15" ht="15">
      <c r="B68" s="54" t="s">
        <v>3365</v>
      </c>
      <c r="C68" s="22" t="s">
        <v>3396</v>
      </c>
      <c r="D68" s="32" t="s">
        <v>3367</v>
      </c>
      <c r="E68" s="70">
        <v>43811</v>
      </c>
      <c r="F68" s="70">
        <v>43811</v>
      </c>
      <c r="J68" s="94">
        <v>871425</v>
      </c>
      <c r="K68" s="95">
        <v>0.58</v>
      </c>
      <c r="O68" s="68" t="s">
        <v>3368</v>
      </c>
    </row>
    <row r="70" spans="9:10" ht="15" thickBot="1">
      <c r="I70" s="115" t="s">
        <v>3314</v>
      </c>
      <c r="J70" s="116">
        <f>SUM(J68)</f>
        <v>871425</v>
      </c>
    </row>
    <row r="71" ht="15" thickTop="1"/>
  </sheetData>
  <hyperlinks>
    <hyperlink ref="I12" r:id="rId1" display="mailto:settlements@shorecap.co.uk"/>
    <hyperlink ref="I19" r:id="rId2" display="mailto:ops@NPlus1Singer.com"/>
    <hyperlink ref="I28" r:id="rId3" display="mailto:ops@NPlus1Singer.com"/>
    <hyperlink ref="I61" r:id="rId4" display="mailto:middleoffice@numis.com"/>
    <hyperlink ref="I62" r:id="rId5" display="mailto:middleoffice@numis.com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392D-D3B6-4783-8B78-0ED04C805720}">
  <dimension ref="B6:R80"/>
  <sheetViews>
    <sheetView workbookViewId="0" topLeftCell="A1">
      <selection activeCell="D6" sqref="D6"/>
    </sheetView>
  </sheetViews>
  <sheetFormatPr defaultColWidth="9.140625" defaultRowHeight="15"/>
  <cols>
    <col min="4" max="4" width="23.28125" style="0" bestFit="1" customWidth="1"/>
    <col min="7" max="7" width="12.421875" style="0" bestFit="1" customWidth="1"/>
    <col min="8" max="8" width="10.421875" style="0" bestFit="1" customWidth="1"/>
    <col min="9" max="9" width="10.57421875" style="0" bestFit="1" customWidth="1"/>
  </cols>
  <sheetData>
    <row r="6" spans="2:18" ht="57.6">
      <c r="B6" s="128" t="s">
        <v>3404</v>
      </c>
      <c r="C6" s="129" t="s">
        <v>3405</v>
      </c>
      <c r="D6" s="130" t="s">
        <v>3406</v>
      </c>
      <c r="E6" s="131" t="s">
        <v>3399</v>
      </c>
      <c r="F6" s="132" t="s">
        <v>3407</v>
      </c>
      <c r="G6" s="130" t="s">
        <v>3423</v>
      </c>
      <c r="H6" s="132" t="s">
        <v>3424</v>
      </c>
      <c r="I6" s="132" t="s">
        <v>3288</v>
      </c>
      <c r="J6" s="135" t="s">
        <v>3425</v>
      </c>
      <c r="K6" s="135" t="s">
        <v>3426</v>
      </c>
      <c r="L6" s="128" t="s">
        <v>3427</v>
      </c>
      <c r="M6" s="136" t="s">
        <v>3428</v>
      </c>
      <c r="N6" s="137" t="s">
        <v>3429</v>
      </c>
      <c r="O6" s="135" t="s">
        <v>3430</v>
      </c>
      <c r="P6" s="137" t="s">
        <v>3431</v>
      </c>
      <c r="Q6" s="137" t="s">
        <v>3432</v>
      </c>
      <c r="R6" s="138" t="s">
        <v>3433</v>
      </c>
    </row>
    <row r="7" spans="2:18" ht="15">
      <c r="B7" s="133">
        <v>1</v>
      </c>
      <c r="C7" s="133">
        <v>100039</v>
      </c>
      <c r="D7" s="134" t="s">
        <v>3408</v>
      </c>
      <c r="E7" s="133" t="s">
        <v>3409</v>
      </c>
      <c r="F7" s="134" t="s">
        <v>3410</v>
      </c>
      <c r="G7" s="134" t="s">
        <v>3434</v>
      </c>
      <c r="H7" s="139">
        <v>43497</v>
      </c>
      <c r="I7" s="139">
        <v>43501</v>
      </c>
      <c r="J7" s="139" t="s">
        <v>3435</v>
      </c>
      <c r="K7" s="139" t="s">
        <v>3436</v>
      </c>
      <c r="L7" s="140">
        <v>144000</v>
      </c>
      <c r="M7" s="140">
        <v>144000</v>
      </c>
      <c r="N7" s="141">
        <v>1</v>
      </c>
      <c r="O7" s="140">
        <v>144000</v>
      </c>
      <c r="P7" s="141" t="s">
        <v>3437</v>
      </c>
      <c r="Q7" s="142" t="s">
        <v>3437</v>
      </c>
      <c r="R7" s="140" t="s">
        <v>3437</v>
      </c>
    </row>
    <row r="8" spans="2:18" ht="15">
      <c r="B8" s="133">
        <v>2</v>
      </c>
      <c r="C8" s="133">
        <v>100051</v>
      </c>
      <c r="D8" s="134" t="s">
        <v>3411</v>
      </c>
      <c r="E8" s="133" t="s">
        <v>3409</v>
      </c>
      <c r="F8" s="134" t="s">
        <v>3410</v>
      </c>
      <c r="G8" s="134" t="s">
        <v>3434</v>
      </c>
      <c r="H8" s="139">
        <v>43542</v>
      </c>
      <c r="I8" s="139">
        <v>43544</v>
      </c>
      <c r="J8" s="139" t="s">
        <v>3435</v>
      </c>
      <c r="K8" s="139" t="s">
        <v>3436</v>
      </c>
      <c r="L8" s="140">
        <v>1855325</v>
      </c>
      <c r="M8" s="140">
        <v>1410047</v>
      </c>
      <c r="N8" s="141">
        <v>0.76</v>
      </c>
      <c r="O8" s="140">
        <v>1410047</v>
      </c>
      <c r="P8" s="141" t="s">
        <v>3437</v>
      </c>
      <c r="Q8" s="142" t="s">
        <v>3437</v>
      </c>
      <c r="R8" s="140" t="s">
        <v>3437</v>
      </c>
    </row>
    <row r="9" spans="2:18" ht="15">
      <c r="B9" s="133">
        <v>3</v>
      </c>
      <c r="C9" s="133">
        <v>100022</v>
      </c>
      <c r="D9" s="134" t="s">
        <v>3412</v>
      </c>
      <c r="E9" s="133" t="s">
        <v>3409</v>
      </c>
      <c r="F9" s="134" t="s">
        <v>3410</v>
      </c>
      <c r="G9" s="134" t="s">
        <v>3434</v>
      </c>
      <c r="H9" s="139">
        <v>43586</v>
      </c>
      <c r="I9" s="139">
        <v>43588</v>
      </c>
      <c r="J9" s="139" t="s">
        <v>3438</v>
      </c>
      <c r="K9" s="139" t="s">
        <v>3439</v>
      </c>
      <c r="L9" s="140">
        <v>-9900</v>
      </c>
      <c r="M9" s="140">
        <v>-25946.04</v>
      </c>
      <c r="N9" s="141">
        <v>2.620812121212121</v>
      </c>
      <c r="O9" s="140">
        <v>-395207</v>
      </c>
      <c r="P9" s="141">
        <v>39.91989898989899</v>
      </c>
      <c r="Q9" s="142">
        <v>15.231881242763828</v>
      </c>
      <c r="R9" s="140">
        <v>369260.96</v>
      </c>
    </row>
    <row r="10" spans="2:18" ht="15">
      <c r="B10" s="133">
        <v>4</v>
      </c>
      <c r="C10" s="133">
        <v>100022</v>
      </c>
      <c r="D10" s="134" t="s">
        <v>3412</v>
      </c>
      <c r="E10" s="133" t="s">
        <v>3409</v>
      </c>
      <c r="F10" s="134" t="s">
        <v>3410</v>
      </c>
      <c r="G10" s="134" t="s">
        <v>3434</v>
      </c>
      <c r="H10" s="139">
        <v>43602</v>
      </c>
      <c r="I10" s="139">
        <v>43606</v>
      </c>
      <c r="J10" s="139" t="s">
        <v>3438</v>
      </c>
      <c r="K10" s="139" t="s">
        <v>3439</v>
      </c>
      <c r="L10" s="140">
        <v>-11250</v>
      </c>
      <c r="M10" s="140">
        <v>-29484.13</v>
      </c>
      <c r="N10" s="141">
        <v>2.6208115555555556</v>
      </c>
      <c r="O10" s="140">
        <v>-439555.62</v>
      </c>
      <c r="P10" s="141">
        <v>39.071610666666665</v>
      </c>
      <c r="Q10" s="142">
        <v>14.908210620425292</v>
      </c>
      <c r="R10" s="140">
        <v>410071.49</v>
      </c>
    </row>
    <row r="11" spans="2:18" ht="15">
      <c r="B11" s="133">
        <v>5</v>
      </c>
      <c r="C11" s="133">
        <v>100022</v>
      </c>
      <c r="D11" s="134" t="s">
        <v>3412</v>
      </c>
      <c r="E11" s="133" t="s">
        <v>3409</v>
      </c>
      <c r="F11" s="134" t="s">
        <v>3410</v>
      </c>
      <c r="G11" s="134" t="s">
        <v>3434</v>
      </c>
      <c r="H11" s="139">
        <v>43605</v>
      </c>
      <c r="I11" s="139">
        <v>43607</v>
      </c>
      <c r="J11" s="139" t="s">
        <v>3438</v>
      </c>
      <c r="K11" s="139" t="s">
        <v>3439</v>
      </c>
      <c r="L11" s="140">
        <v>-18000</v>
      </c>
      <c r="M11" s="140">
        <v>-47174.61</v>
      </c>
      <c r="N11" s="141">
        <v>2.6208116666666665</v>
      </c>
      <c r="O11" s="140">
        <v>-703289.6</v>
      </c>
      <c r="P11" s="141">
        <v>39.071644444444445</v>
      </c>
      <c r="Q11" s="142">
        <v>14.90822287667031</v>
      </c>
      <c r="R11" s="140">
        <v>656114.99</v>
      </c>
    </row>
    <row r="12" spans="2:18" ht="15">
      <c r="B12" s="133">
        <v>6</v>
      </c>
      <c r="C12" s="133">
        <v>100042</v>
      </c>
      <c r="D12" s="134" t="s">
        <v>3413</v>
      </c>
      <c r="E12" s="133" t="s">
        <v>3409</v>
      </c>
      <c r="F12" s="134" t="s">
        <v>3410</v>
      </c>
      <c r="G12" s="134" t="s">
        <v>3434</v>
      </c>
      <c r="H12" s="139">
        <v>43605</v>
      </c>
      <c r="I12" s="139">
        <v>43620</v>
      </c>
      <c r="J12" s="139" t="s">
        <v>3435</v>
      </c>
      <c r="K12" s="139" t="s">
        <v>3436</v>
      </c>
      <c r="L12" s="140">
        <v>2268000</v>
      </c>
      <c r="M12" s="140">
        <v>113400</v>
      </c>
      <c r="N12" s="141">
        <v>0.05</v>
      </c>
      <c r="O12" s="140">
        <v>113400</v>
      </c>
      <c r="P12" s="141" t="s">
        <v>3437</v>
      </c>
      <c r="Q12" s="142" t="s">
        <v>3437</v>
      </c>
      <c r="R12" s="140" t="s">
        <v>3437</v>
      </c>
    </row>
    <row r="13" spans="2:18" ht="15">
      <c r="B13" s="133">
        <v>7</v>
      </c>
      <c r="C13" s="133">
        <v>100022</v>
      </c>
      <c r="D13" s="134" t="s">
        <v>3412</v>
      </c>
      <c r="E13" s="133" t="s">
        <v>3409</v>
      </c>
      <c r="F13" s="134" t="s">
        <v>3410</v>
      </c>
      <c r="G13" s="134" t="s">
        <v>3434</v>
      </c>
      <c r="H13" s="139">
        <v>43607</v>
      </c>
      <c r="I13" s="139">
        <v>43609</v>
      </c>
      <c r="J13" s="139" t="s">
        <v>3438</v>
      </c>
      <c r="K13" s="139" t="s">
        <v>3439</v>
      </c>
      <c r="L13" s="140">
        <v>-11925</v>
      </c>
      <c r="M13" s="140">
        <v>-31253.18</v>
      </c>
      <c r="N13" s="141">
        <v>2.620811740041929</v>
      </c>
      <c r="O13" s="140">
        <v>-465929.02</v>
      </c>
      <c r="P13" s="141">
        <v>39.07161593291405</v>
      </c>
      <c r="Q13" s="142">
        <v>14.90821158038958</v>
      </c>
      <c r="R13" s="140">
        <v>434675.84</v>
      </c>
    </row>
    <row r="14" spans="2:18" ht="15">
      <c r="B14" s="133">
        <v>8</v>
      </c>
      <c r="C14" s="133">
        <v>100137</v>
      </c>
      <c r="D14" s="134" t="s">
        <v>3414</v>
      </c>
      <c r="E14" s="133" t="s">
        <v>3409</v>
      </c>
      <c r="F14" s="134" t="s">
        <v>3410</v>
      </c>
      <c r="G14" s="134" t="s">
        <v>3434</v>
      </c>
      <c r="H14" s="139">
        <v>43720</v>
      </c>
      <c r="I14" s="139">
        <v>43724</v>
      </c>
      <c r="J14" s="139" t="s">
        <v>3438</v>
      </c>
      <c r="K14" s="139" t="s">
        <v>3439</v>
      </c>
      <c r="L14" s="140">
        <v>-254511</v>
      </c>
      <c r="M14" s="140">
        <v>-122047.73</v>
      </c>
      <c r="N14" s="141">
        <v>0.4795381339116973</v>
      </c>
      <c r="O14" s="140">
        <v>-106979.81</v>
      </c>
      <c r="P14" s="141">
        <v>0.42033472030678437</v>
      </c>
      <c r="Q14" s="142">
        <v>0.8765407599141746</v>
      </c>
      <c r="R14" s="140">
        <v>-15067.919999999998</v>
      </c>
    </row>
    <row r="15" spans="2:18" ht="15">
      <c r="B15" s="133">
        <v>9</v>
      </c>
      <c r="C15" s="133">
        <v>100125</v>
      </c>
      <c r="D15" s="134" t="s">
        <v>3415</v>
      </c>
      <c r="E15" s="133" t="s">
        <v>3409</v>
      </c>
      <c r="F15" s="134" t="s">
        <v>3410</v>
      </c>
      <c r="G15" s="134" t="s">
        <v>3434</v>
      </c>
      <c r="H15" s="139">
        <v>43726</v>
      </c>
      <c r="I15" s="139">
        <v>43726</v>
      </c>
      <c r="J15" s="139" t="s">
        <v>3435</v>
      </c>
      <c r="K15" s="139" t="s">
        <v>3439</v>
      </c>
      <c r="L15" s="140">
        <v>-2269794</v>
      </c>
      <c r="M15" s="140">
        <v>-1175806.1</v>
      </c>
      <c r="N15" s="141">
        <v>0.5180232655474462</v>
      </c>
      <c r="O15" s="140">
        <v>-3177746.6</v>
      </c>
      <c r="P15" s="141">
        <v>1.4000154199015418</v>
      </c>
      <c r="Q15" s="142">
        <v>2.7026110852801324</v>
      </c>
      <c r="R15" s="140">
        <v>2001940.5</v>
      </c>
    </row>
    <row r="16" spans="2:18" ht="15">
      <c r="B16" s="133">
        <v>10</v>
      </c>
      <c r="C16" s="133">
        <v>100125</v>
      </c>
      <c r="D16" s="134" t="s">
        <v>3415</v>
      </c>
      <c r="E16" s="133" t="s">
        <v>3409</v>
      </c>
      <c r="F16" s="134" t="s">
        <v>3410</v>
      </c>
      <c r="G16" s="134" t="s">
        <v>3434</v>
      </c>
      <c r="H16" s="139">
        <v>43726</v>
      </c>
      <c r="I16" s="139">
        <v>43726</v>
      </c>
      <c r="J16" s="139" t="s">
        <v>3438</v>
      </c>
      <c r="K16" s="139" t="s">
        <v>3439</v>
      </c>
      <c r="L16" s="140">
        <v>-25</v>
      </c>
      <c r="M16" s="140">
        <v>-16.58</v>
      </c>
      <c r="N16" s="141">
        <v>0.6631999999999999</v>
      </c>
      <c r="O16" s="140">
        <v>0</v>
      </c>
      <c r="P16" s="141">
        <v>0</v>
      </c>
      <c r="Q16" s="142">
        <v>0</v>
      </c>
      <c r="R16" s="140">
        <v>-16.58</v>
      </c>
    </row>
    <row r="17" spans="2:18" ht="15">
      <c r="B17" s="133">
        <v>11</v>
      </c>
      <c r="C17" s="133">
        <v>100137</v>
      </c>
      <c r="D17" s="134" t="s">
        <v>3414</v>
      </c>
      <c r="E17" s="133" t="s">
        <v>3409</v>
      </c>
      <c r="F17" s="134" t="s">
        <v>3410</v>
      </c>
      <c r="G17" s="134" t="s">
        <v>3434</v>
      </c>
      <c r="H17" s="139">
        <v>43728</v>
      </c>
      <c r="I17" s="139">
        <v>43732</v>
      </c>
      <c r="J17" s="139" t="s">
        <v>3438</v>
      </c>
      <c r="K17" s="139" t="s">
        <v>3439</v>
      </c>
      <c r="L17" s="140">
        <v>-3181</v>
      </c>
      <c r="M17" s="140">
        <v>-1525.41</v>
      </c>
      <c r="N17" s="141">
        <v>0.47953788116944357</v>
      </c>
      <c r="O17" s="140">
        <v>-1412.72</v>
      </c>
      <c r="P17" s="141">
        <v>0.44411191449229803</v>
      </c>
      <c r="Q17" s="142">
        <v>0.9261247795674605</v>
      </c>
      <c r="R17" s="140">
        <v>-112.69000000000005</v>
      </c>
    </row>
    <row r="18" spans="2:18" ht="15">
      <c r="B18" s="133">
        <v>12</v>
      </c>
      <c r="C18" s="133">
        <v>100249</v>
      </c>
      <c r="D18" s="143" t="s">
        <v>3416</v>
      </c>
      <c r="E18" s="133" t="s">
        <v>3409</v>
      </c>
      <c r="F18" s="134" t="s">
        <v>3410</v>
      </c>
      <c r="G18" s="134" t="s">
        <v>3434</v>
      </c>
      <c r="H18" s="139">
        <v>43735</v>
      </c>
      <c r="I18" s="139">
        <v>43738</v>
      </c>
      <c r="J18" s="139" t="s">
        <v>3435</v>
      </c>
      <c r="K18" s="139" t="s">
        <v>3436</v>
      </c>
      <c r="L18" s="140">
        <v>3133333</v>
      </c>
      <c r="M18" s="140">
        <v>1409999.85</v>
      </c>
      <c r="N18" s="141">
        <v>0.45</v>
      </c>
      <c r="O18" s="140">
        <v>1409999.85</v>
      </c>
      <c r="P18" s="141" t="s">
        <v>3437</v>
      </c>
      <c r="Q18" s="142" t="s">
        <v>3437</v>
      </c>
      <c r="R18" s="140" t="s">
        <v>3437</v>
      </c>
    </row>
    <row r="19" spans="2:18" ht="15">
      <c r="B19" s="133">
        <v>13</v>
      </c>
      <c r="C19" s="133">
        <v>100039</v>
      </c>
      <c r="D19" s="143" t="s">
        <v>3408</v>
      </c>
      <c r="E19" s="133" t="s">
        <v>3409</v>
      </c>
      <c r="F19" s="134" t="s">
        <v>3410</v>
      </c>
      <c r="G19" s="134" t="s">
        <v>3434</v>
      </c>
      <c r="H19" s="139">
        <v>43738</v>
      </c>
      <c r="I19" s="139">
        <v>43758</v>
      </c>
      <c r="J19" s="139" t="s">
        <v>3435</v>
      </c>
      <c r="K19" s="139" t="s">
        <v>3436</v>
      </c>
      <c r="L19" s="140">
        <v>715500</v>
      </c>
      <c r="M19" s="140">
        <v>715500</v>
      </c>
      <c r="N19" s="141">
        <v>1</v>
      </c>
      <c r="O19" s="140">
        <v>715500</v>
      </c>
      <c r="P19" s="141" t="s">
        <v>3437</v>
      </c>
      <c r="Q19" s="142" t="s">
        <v>3437</v>
      </c>
      <c r="R19" s="140" t="s">
        <v>3437</v>
      </c>
    </row>
    <row r="20" spans="2:18" ht="15">
      <c r="B20" s="133">
        <v>14</v>
      </c>
      <c r="C20" s="133">
        <v>100110</v>
      </c>
      <c r="D20" s="143" t="s">
        <v>3417</v>
      </c>
      <c r="E20" s="133" t="s">
        <v>3409</v>
      </c>
      <c r="F20" s="134" t="s">
        <v>3410</v>
      </c>
      <c r="G20" s="134" t="s">
        <v>3434</v>
      </c>
      <c r="H20" s="139">
        <v>43738</v>
      </c>
      <c r="I20" s="139">
        <v>43738</v>
      </c>
      <c r="J20" s="139" t="s">
        <v>3435</v>
      </c>
      <c r="K20" s="139" t="s">
        <v>3439</v>
      </c>
      <c r="L20" s="140">
        <v>-13000000</v>
      </c>
      <c r="M20" s="140">
        <v>-490000</v>
      </c>
      <c r="N20" s="141">
        <v>0.03769230769230769</v>
      </c>
      <c r="O20" s="140">
        <v>4.54747350886464E-13</v>
      </c>
      <c r="P20" s="141">
        <v>-3.4980565452804926E-20</v>
      </c>
      <c r="Q20" s="142">
        <v>-9.280558181356408E-19</v>
      </c>
      <c r="R20" s="140">
        <v>-490000</v>
      </c>
    </row>
    <row r="21" spans="2:18" ht="15">
      <c r="B21" s="133">
        <v>15</v>
      </c>
      <c r="C21" s="133">
        <v>100110</v>
      </c>
      <c r="D21" s="143" t="s">
        <v>3417</v>
      </c>
      <c r="E21" s="133" t="s">
        <v>3409</v>
      </c>
      <c r="F21" s="134" t="s">
        <v>3410</v>
      </c>
      <c r="G21" s="134" t="s">
        <v>3434</v>
      </c>
      <c r="H21" s="139">
        <v>43738</v>
      </c>
      <c r="I21" s="139">
        <v>43738</v>
      </c>
      <c r="J21" s="139" t="s">
        <v>3438</v>
      </c>
      <c r="K21" s="139" t="s">
        <v>3439</v>
      </c>
      <c r="L21" s="140">
        <v>-509094</v>
      </c>
      <c r="M21" s="140">
        <v>-7636.42</v>
      </c>
      <c r="N21" s="141">
        <v>0.015000019642737884</v>
      </c>
      <c r="O21" s="140">
        <v>0</v>
      </c>
      <c r="P21" s="141">
        <v>0</v>
      </c>
      <c r="Q21" s="142">
        <v>0</v>
      </c>
      <c r="R21" s="140">
        <v>-7636.42</v>
      </c>
    </row>
    <row r="22" spans="2:18" ht="15">
      <c r="B22" s="133">
        <v>16</v>
      </c>
      <c r="C22" s="133">
        <v>100024</v>
      </c>
      <c r="D22" s="134" t="s">
        <v>3418</v>
      </c>
      <c r="E22" s="133" t="s">
        <v>3409</v>
      </c>
      <c r="F22" s="134" t="s">
        <v>3410</v>
      </c>
      <c r="G22" s="134" t="s">
        <v>3434</v>
      </c>
      <c r="H22" s="139">
        <v>43742</v>
      </c>
      <c r="I22" s="139">
        <v>43746</v>
      </c>
      <c r="J22" s="139" t="s">
        <v>3435</v>
      </c>
      <c r="K22" s="139" t="s">
        <v>3439</v>
      </c>
      <c r="L22" s="140">
        <v>-595000</v>
      </c>
      <c r="M22" s="140">
        <v>-351050</v>
      </c>
      <c r="N22" s="141">
        <v>0.59</v>
      </c>
      <c r="O22" s="140">
        <v>-11875.2</v>
      </c>
      <c r="P22" s="141">
        <v>0.019958319327731094</v>
      </c>
      <c r="Q22" s="142">
        <v>0.03382765987751033</v>
      </c>
      <c r="R22" s="140">
        <v>-339174.8</v>
      </c>
    </row>
    <row r="23" spans="2:18" ht="15">
      <c r="B23" s="133">
        <v>17</v>
      </c>
      <c r="C23" s="133">
        <v>100072</v>
      </c>
      <c r="D23" s="134" t="s">
        <v>3419</v>
      </c>
      <c r="E23" s="133" t="s">
        <v>3409</v>
      </c>
      <c r="F23" s="134" t="s">
        <v>3410</v>
      </c>
      <c r="G23" s="134" t="s">
        <v>3434</v>
      </c>
      <c r="H23" s="139">
        <v>43745</v>
      </c>
      <c r="I23" s="139">
        <v>43747</v>
      </c>
      <c r="J23" s="139" t="s">
        <v>3438</v>
      </c>
      <c r="K23" s="139" t="s">
        <v>3439</v>
      </c>
      <c r="L23" s="140">
        <v>-247500</v>
      </c>
      <c r="M23" s="140">
        <v>-84150</v>
      </c>
      <c r="N23" s="141">
        <v>0.34</v>
      </c>
      <c r="O23" s="140">
        <v>-360626.3</v>
      </c>
      <c r="P23" s="141">
        <v>1.4570759595959595</v>
      </c>
      <c r="Q23" s="142">
        <v>4.28551752822341</v>
      </c>
      <c r="R23" s="140">
        <v>276476.3</v>
      </c>
    </row>
    <row r="24" spans="2:18" ht="15">
      <c r="B24" s="133">
        <v>18</v>
      </c>
      <c r="C24" s="133">
        <v>100072</v>
      </c>
      <c r="D24" s="134" t="s">
        <v>3419</v>
      </c>
      <c r="E24" s="133" t="s">
        <v>3409</v>
      </c>
      <c r="F24" s="134" t="s">
        <v>3410</v>
      </c>
      <c r="G24" s="134" t="s">
        <v>3434</v>
      </c>
      <c r="H24" s="139">
        <v>43746</v>
      </c>
      <c r="I24" s="139">
        <v>43748</v>
      </c>
      <c r="J24" s="139" t="s">
        <v>3438</v>
      </c>
      <c r="K24" s="139" t="s">
        <v>3439</v>
      </c>
      <c r="L24" s="140">
        <v>-45000</v>
      </c>
      <c r="M24" s="140">
        <v>-15300</v>
      </c>
      <c r="N24" s="141">
        <v>0.34</v>
      </c>
      <c r="O24" s="140">
        <v>-66241.25</v>
      </c>
      <c r="P24" s="141">
        <v>1.4720277777777777</v>
      </c>
      <c r="Q24" s="142">
        <v>4.3294934640522875</v>
      </c>
      <c r="R24" s="140">
        <v>50941.25</v>
      </c>
    </row>
    <row r="25" spans="2:18" ht="15">
      <c r="B25" s="133">
        <v>19</v>
      </c>
      <c r="C25" s="133">
        <v>100072</v>
      </c>
      <c r="D25" s="134" t="s">
        <v>3419</v>
      </c>
      <c r="E25" s="133" t="s">
        <v>3409</v>
      </c>
      <c r="F25" s="134" t="s">
        <v>3410</v>
      </c>
      <c r="G25" s="134" t="s">
        <v>3434</v>
      </c>
      <c r="H25" s="139">
        <v>43747</v>
      </c>
      <c r="I25" s="139">
        <v>43749</v>
      </c>
      <c r="J25" s="139" t="s">
        <v>3438</v>
      </c>
      <c r="K25" s="139" t="s">
        <v>3439</v>
      </c>
      <c r="L25" s="140">
        <v>-22500</v>
      </c>
      <c r="M25" s="140">
        <v>-7650</v>
      </c>
      <c r="N25" s="141">
        <v>0.34</v>
      </c>
      <c r="O25" s="140">
        <v>-33120.13</v>
      </c>
      <c r="P25" s="141">
        <v>1.4720057777777777</v>
      </c>
      <c r="Q25" s="142">
        <v>4.329428758169934</v>
      </c>
      <c r="R25" s="140">
        <v>25470.129999999997</v>
      </c>
    </row>
    <row r="26" spans="2:18" ht="15">
      <c r="B26" s="133">
        <v>20</v>
      </c>
      <c r="C26" s="133">
        <v>100072</v>
      </c>
      <c r="D26" s="134" t="s">
        <v>3419</v>
      </c>
      <c r="E26" s="133" t="s">
        <v>3409</v>
      </c>
      <c r="F26" s="134" t="s">
        <v>3410</v>
      </c>
      <c r="G26" s="134" t="s">
        <v>3434</v>
      </c>
      <c r="H26" s="139">
        <v>43748</v>
      </c>
      <c r="I26" s="139">
        <v>43752</v>
      </c>
      <c r="J26" s="139" t="s">
        <v>3438</v>
      </c>
      <c r="K26" s="139" t="s">
        <v>3439</v>
      </c>
      <c r="L26" s="140">
        <v>-21150</v>
      </c>
      <c r="M26" s="140">
        <v>-7191</v>
      </c>
      <c r="N26" s="141">
        <v>0.34</v>
      </c>
      <c r="O26" s="140">
        <v>-31540.24</v>
      </c>
      <c r="P26" s="141">
        <v>1.4912643026004728</v>
      </c>
      <c r="Q26" s="142">
        <v>4.386071478236685</v>
      </c>
      <c r="R26" s="140">
        <v>24349.24</v>
      </c>
    </row>
    <row r="27" spans="2:18" ht="15">
      <c r="B27" s="133">
        <v>21</v>
      </c>
      <c r="C27" s="133">
        <v>100072</v>
      </c>
      <c r="D27" s="134" t="s">
        <v>3419</v>
      </c>
      <c r="E27" s="133" t="s">
        <v>3409</v>
      </c>
      <c r="F27" s="134" t="s">
        <v>3410</v>
      </c>
      <c r="G27" s="134" t="s">
        <v>3434</v>
      </c>
      <c r="H27" s="139">
        <v>43749</v>
      </c>
      <c r="I27" s="139">
        <v>43753</v>
      </c>
      <c r="J27" s="139" t="s">
        <v>3438</v>
      </c>
      <c r="K27" s="139" t="s">
        <v>3439</v>
      </c>
      <c r="L27" s="140">
        <v>-18000</v>
      </c>
      <c r="M27" s="140">
        <v>-6120</v>
      </c>
      <c r="N27" s="141">
        <v>0.34</v>
      </c>
      <c r="O27" s="140">
        <v>-26788.71</v>
      </c>
      <c r="P27" s="141">
        <v>1.4882616666666666</v>
      </c>
      <c r="Q27" s="142">
        <v>4.377240196078431</v>
      </c>
      <c r="R27" s="140">
        <v>20668.71</v>
      </c>
    </row>
    <row r="28" spans="2:18" s="144" customFormat="1" ht="15">
      <c r="B28" s="145">
        <v>22</v>
      </c>
      <c r="C28" s="145">
        <v>100072</v>
      </c>
      <c r="D28" s="146" t="s">
        <v>3419</v>
      </c>
      <c r="E28" s="145" t="s">
        <v>3409</v>
      </c>
      <c r="F28" s="146" t="s">
        <v>3410</v>
      </c>
      <c r="G28" s="146" t="s">
        <v>3434</v>
      </c>
      <c r="H28" s="147">
        <v>43755</v>
      </c>
      <c r="I28" s="147">
        <v>43759</v>
      </c>
      <c r="J28" s="147" t="s">
        <v>3438</v>
      </c>
      <c r="K28" s="147" t="s">
        <v>3439</v>
      </c>
      <c r="L28" s="148">
        <v>-838282</v>
      </c>
      <c r="M28" s="148">
        <v>-241713.36</v>
      </c>
      <c r="N28" s="149">
        <v>0.28834373158435944</v>
      </c>
      <c r="O28" s="148">
        <v>-1233992.02</v>
      </c>
      <c r="P28" s="149">
        <v>1.4720488093505526</v>
      </c>
      <c r="Q28" s="150">
        <v>5.105187483223931</v>
      </c>
      <c r="R28" s="148">
        <v>992278.66</v>
      </c>
    </row>
    <row r="29" spans="2:18" ht="15">
      <c r="B29" s="133">
        <v>23</v>
      </c>
      <c r="C29" s="133">
        <v>100072</v>
      </c>
      <c r="D29" s="134" t="s">
        <v>3419</v>
      </c>
      <c r="E29" s="133" t="s">
        <v>3409</v>
      </c>
      <c r="F29" s="134" t="s">
        <v>3410</v>
      </c>
      <c r="G29" s="134" t="s">
        <v>3434</v>
      </c>
      <c r="H29" s="139">
        <v>43755</v>
      </c>
      <c r="I29" s="139">
        <v>43759</v>
      </c>
      <c r="J29" s="139" t="s">
        <v>3435</v>
      </c>
      <c r="K29" s="139" t="s">
        <v>3439</v>
      </c>
      <c r="L29" s="140">
        <v>-838282</v>
      </c>
      <c r="M29" s="140">
        <v>-241713.36</v>
      </c>
      <c r="N29" s="141">
        <v>0.28834373158435944</v>
      </c>
      <c r="O29" s="140">
        <v>-1233992.02</v>
      </c>
      <c r="P29" s="141">
        <v>1.4720488093505526</v>
      </c>
      <c r="Q29" s="142">
        <v>5.105187483223931</v>
      </c>
      <c r="R29" s="140">
        <v>992278.66</v>
      </c>
    </row>
    <row r="30" spans="2:18" ht="15">
      <c r="B30" s="133">
        <v>24</v>
      </c>
      <c r="C30" s="133">
        <v>100137</v>
      </c>
      <c r="D30" s="134" t="s">
        <v>3414</v>
      </c>
      <c r="E30" s="133" t="s">
        <v>3409</v>
      </c>
      <c r="F30" s="134" t="s">
        <v>3410</v>
      </c>
      <c r="G30" s="134" t="s">
        <v>3434</v>
      </c>
      <c r="H30" s="139">
        <v>43756</v>
      </c>
      <c r="I30" s="139">
        <v>43760</v>
      </c>
      <c r="J30" s="139" t="s">
        <v>3438</v>
      </c>
      <c r="K30" s="139" t="s">
        <v>3439</v>
      </c>
      <c r="L30" s="140">
        <v>-118984</v>
      </c>
      <c r="M30" s="140">
        <v>-57057.37</v>
      </c>
      <c r="N30" s="141">
        <v>0.479538173199758</v>
      </c>
      <c r="O30" s="140">
        <v>-51059.79</v>
      </c>
      <c r="P30" s="141">
        <v>0.4291315639077523</v>
      </c>
      <c r="Q30" s="142">
        <v>0.8948850954749579</v>
      </c>
      <c r="R30" s="140">
        <v>-5997.580000000002</v>
      </c>
    </row>
    <row r="31" spans="2:18" ht="15">
      <c r="B31" s="133">
        <v>25</v>
      </c>
      <c r="C31" s="133">
        <v>100137</v>
      </c>
      <c r="D31" s="134" t="s">
        <v>3414</v>
      </c>
      <c r="E31" s="133" t="s">
        <v>3409</v>
      </c>
      <c r="F31" s="134" t="s">
        <v>3410</v>
      </c>
      <c r="G31" s="134" t="s">
        <v>3434</v>
      </c>
      <c r="H31" s="139">
        <v>43759</v>
      </c>
      <c r="I31" s="139">
        <v>43761</v>
      </c>
      <c r="J31" s="139" t="s">
        <v>3438</v>
      </c>
      <c r="K31" s="139" t="s">
        <v>3439</v>
      </c>
      <c r="L31" s="140">
        <v>-8272</v>
      </c>
      <c r="M31" s="140">
        <v>-3966.74</v>
      </c>
      <c r="N31" s="141">
        <v>0.4795382011605416</v>
      </c>
      <c r="O31" s="140">
        <v>-3599.38</v>
      </c>
      <c r="P31" s="141">
        <v>0.4351281431334623</v>
      </c>
      <c r="Q31" s="142">
        <v>0.9073899474127369</v>
      </c>
      <c r="R31" s="140">
        <v>-367.3599999999997</v>
      </c>
    </row>
    <row r="32" spans="2:18" ht="15">
      <c r="B32" s="133">
        <v>26</v>
      </c>
      <c r="C32" s="133">
        <v>100072</v>
      </c>
      <c r="D32" s="134" t="s">
        <v>3419</v>
      </c>
      <c r="E32" s="133" t="s">
        <v>3409</v>
      </c>
      <c r="F32" s="134" t="s">
        <v>3410</v>
      </c>
      <c r="G32" s="134" t="s">
        <v>3434</v>
      </c>
      <c r="H32" s="139">
        <v>43760</v>
      </c>
      <c r="I32" s="139">
        <v>43762</v>
      </c>
      <c r="J32" s="139" t="s">
        <v>3435</v>
      </c>
      <c r="K32" s="139" t="s">
        <v>3439</v>
      </c>
      <c r="L32" s="140">
        <v>-45000</v>
      </c>
      <c r="M32" s="140">
        <v>-11628</v>
      </c>
      <c r="N32" s="141">
        <v>0.2584</v>
      </c>
      <c r="O32" s="140">
        <v>-66578.07</v>
      </c>
      <c r="P32" s="141">
        <v>1.479512666666667</v>
      </c>
      <c r="Q32" s="142">
        <v>5.725668214654283</v>
      </c>
      <c r="R32" s="140">
        <v>54950.07000000001</v>
      </c>
    </row>
    <row r="33" spans="2:18" ht="15">
      <c r="B33" s="133">
        <v>27</v>
      </c>
      <c r="C33" s="133">
        <v>100072</v>
      </c>
      <c r="D33" s="134" t="s">
        <v>3419</v>
      </c>
      <c r="E33" s="133" t="s">
        <v>3409</v>
      </c>
      <c r="F33" s="134" t="s">
        <v>3410</v>
      </c>
      <c r="G33" s="134" t="s">
        <v>3434</v>
      </c>
      <c r="H33" s="139">
        <v>43763</v>
      </c>
      <c r="I33" s="139">
        <v>43767</v>
      </c>
      <c r="J33" s="139" t="s">
        <v>3435</v>
      </c>
      <c r="K33" s="139" t="s">
        <v>3439</v>
      </c>
      <c r="L33" s="140">
        <v>-54000</v>
      </c>
      <c r="M33" s="140">
        <v>-13953.6</v>
      </c>
      <c r="N33" s="141">
        <v>0.2584</v>
      </c>
      <c r="O33" s="140">
        <v>-80028.62</v>
      </c>
      <c r="P33" s="141">
        <v>1.4820114814814813</v>
      </c>
      <c r="Q33" s="142">
        <v>5.7353385506249275</v>
      </c>
      <c r="R33" s="140">
        <v>66075.01999999999</v>
      </c>
    </row>
    <row r="34" spans="2:18" ht="15">
      <c r="B34" s="133">
        <v>28</v>
      </c>
      <c r="C34" s="133">
        <v>100012</v>
      </c>
      <c r="D34" s="134" t="s">
        <v>3420</v>
      </c>
      <c r="E34" s="133" t="s">
        <v>3409</v>
      </c>
      <c r="F34" s="134" t="s">
        <v>3410</v>
      </c>
      <c r="G34" s="134" t="s">
        <v>3434</v>
      </c>
      <c r="H34" s="139">
        <v>43770</v>
      </c>
      <c r="I34" s="139">
        <v>43770</v>
      </c>
      <c r="J34" s="139" t="s">
        <v>3435</v>
      </c>
      <c r="K34" s="139" t="s">
        <v>3439</v>
      </c>
      <c r="L34" s="140">
        <v>-223520</v>
      </c>
      <c r="M34" s="140">
        <v>-79350.02</v>
      </c>
      <c r="N34" s="141">
        <v>0.35500187902648533</v>
      </c>
      <c r="O34" s="140">
        <v>-22352</v>
      </c>
      <c r="P34" s="141">
        <v>0.1</v>
      </c>
      <c r="Q34" s="142">
        <v>0.28168864985793324</v>
      </c>
      <c r="R34" s="140">
        <v>-56998.020000000004</v>
      </c>
    </row>
    <row r="35" spans="2:18" s="144" customFormat="1" ht="15">
      <c r="B35" s="145">
        <v>29</v>
      </c>
      <c r="C35" s="145">
        <v>100012</v>
      </c>
      <c r="D35" s="146" t="s">
        <v>3420</v>
      </c>
      <c r="E35" s="145" t="s">
        <v>3409</v>
      </c>
      <c r="F35" s="146" t="s">
        <v>3410</v>
      </c>
      <c r="G35" s="146" t="s">
        <v>3434</v>
      </c>
      <c r="H35" s="147">
        <v>43770</v>
      </c>
      <c r="I35" s="147">
        <v>43770</v>
      </c>
      <c r="J35" s="147" t="s">
        <v>3438</v>
      </c>
      <c r="K35" s="147" t="s">
        <v>3439</v>
      </c>
      <c r="L35" s="148">
        <v>-223520</v>
      </c>
      <c r="M35" s="148">
        <v>-79350.02</v>
      </c>
      <c r="N35" s="149">
        <v>0.35500187902648533</v>
      </c>
      <c r="O35" s="148">
        <v>-22352</v>
      </c>
      <c r="P35" s="149">
        <v>0.1</v>
      </c>
      <c r="Q35" s="150">
        <v>0.28168864985793324</v>
      </c>
      <c r="R35" s="148">
        <v>-56998.020000000004</v>
      </c>
    </row>
    <row r="36" spans="2:18" ht="15">
      <c r="B36" s="133">
        <v>30</v>
      </c>
      <c r="C36" s="133">
        <v>100137</v>
      </c>
      <c r="D36" s="134" t="s">
        <v>3414</v>
      </c>
      <c r="E36" s="133" t="s">
        <v>3409</v>
      </c>
      <c r="F36" s="134" t="s">
        <v>3410</v>
      </c>
      <c r="G36" s="134" t="s">
        <v>3434</v>
      </c>
      <c r="H36" s="139">
        <v>43770</v>
      </c>
      <c r="I36" s="139">
        <v>43774</v>
      </c>
      <c r="J36" s="139" t="s">
        <v>3438</v>
      </c>
      <c r="K36" s="139" t="s">
        <v>3439</v>
      </c>
      <c r="L36" s="140">
        <v>-7954</v>
      </c>
      <c r="M36" s="140">
        <v>-3814.25</v>
      </c>
      <c r="N36" s="141">
        <v>0.47953859693236106</v>
      </c>
      <c r="O36" s="140">
        <v>-3453.07</v>
      </c>
      <c r="P36" s="141">
        <v>0.4341299974855419</v>
      </c>
      <c r="Q36" s="142">
        <v>0.9053077276004458</v>
      </c>
      <c r="R36" s="140">
        <v>-361.17999999999984</v>
      </c>
    </row>
    <row r="37" spans="2:18" ht="15">
      <c r="B37" s="133">
        <v>31</v>
      </c>
      <c r="C37" s="133">
        <v>100114</v>
      </c>
      <c r="D37" s="134" t="s">
        <v>3421</v>
      </c>
      <c r="E37" s="133" t="s">
        <v>3409</v>
      </c>
      <c r="F37" s="134" t="s">
        <v>3410</v>
      </c>
      <c r="G37" s="134" t="s">
        <v>3434</v>
      </c>
      <c r="H37" s="139">
        <v>43789</v>
      </c>
      <c r="I37" s="139">
        <v>43789</v>
      </c>
      <c r="J37" s="139" t="s">
        <v>3435</v>
      </c>
      <c r="K37" s="139" t="s">
        <v>3439</v>
      </c>
      <c r="L37" s="140">
        <v>-1591852</v>
      </c>
      <c r="M37" s="140">
        <v>-1586474.96</v>
      </c>
      <c r="N37" s="141">
        <v>0.9966221482901677</v>
      </c>
      <c r="O37" s="140">
        <v>-1989815</v>
      </c>
      <c r="P37" s="141">
        <v>1.25</v>
      </c>
      <c r="Q37" s="142">
        <v>1.2542366253294033</v>
      </c>
      <c r="R37" s="140">
        <v>403340.04000000004</v>
      </c>
    </row>
    <row r="38" spans="2:18" s="144" customFormat="1" ht="15">
      <c r="B38" s="145">
        <v>32</v>
      </c>
      <c r="C38" s="145">
        <v>100114</v>
      </c>
      <c r="D38" s="146" t="s">
        <v>3421</v>
      </c>
      <c r="E38" s="145" t="s">
        <v>3409</v>
      </c>
      <c r="F38" s="146" t="s">
        <v>3410</v>
      </c>
      <c r="G38" s="146" t="s">
        <v>3434</v>
      </c>
      <c r="H38" s="147">
        <v>43789</v>
      </c>
      <c r="I38" s="147">
        <v>43789</v>
      </c>
      <c r="J38" s="147" t="s">
        <v>3438</v>
      </c>
      <c r="K38" s="147" t="s">
        <v>3439</v>
      </c>
      <c r="L38" s="148">
        <v>-1591852</v>
      </c>
      <c r="M38" s="148">
        <v>-1586474.96</v>
      </c>
      <c r="N38" s="149">
        <v>0.9966221482901677</v>
      </c>
      <c r="O38" s="148">
        <v>-1989815</v>
      </c>
      <c r="P38" s="149">
        <v>1.25</v>
      </c>
      <c r="Q38" s="150">
        <v>1.2542366253294033</v>
      </c>
      <c r="R38" s="148">
        <v>403340.04000000004</v>
      </c>
    </row>
    <row r="39" spans="2:18" ht="15">
      <c r="B39" s="133">
        <v>33</v>
      </c>
      <c r="C39" s="133">
        <v>100137</v>
      </c>
      <c r="D39" s="134" t="s">
        <v>3414</v>
      </c>
      <c r="E39" s="133" t="s">
        <v>3409</v>
      </c>
      <c r="F39" s="134" t="s">
        <v>3410</v>
      </c>
      <c r="G39" s="134" t="s">
        <v>3434</v>
      </c>
      <c r="H39" s="139">
        <v>43789</v>
      </c>
      <c r="I39" s="139">
        <v>43791</v>
      </c>
      <c r="J39" s="139" t="s">
        <v>3438</v>
      </c>
      <c r="K39" s="139" t="s">
        <v>3439</v>
      </c>
      <c r="L39" s="140">
        <v>-23860</v>
      </c>
      <c r="M39" s="140">
        <v>-11441.78</v>
      </c>
      <c r="N39" s="141">
        <v>0.4795381391450126</v>
      </c>
      <c r="O39" s="140">
        <v>-10119.22</v>
      </c>
      <c r="P39" s="141">
        <v>0.42410813076278286</v>
      </c>
      <c r="Q39" s="142">
        <v>0.8844095936121826</v>
      </c>
      <c r="R39" s="140">
        <v>-1322.5600000000013</v>
      </c>
    </row>
    <row r="40" spans="2:18" ht="15">
      <c r="B40" s="133">
        <v>34</v>
      </c>
      <c r="C40" s="133">
        <v>100137</v>
      </c>
      <c r="D40" s="134" t="s">
        <v>3414</v>
      </c>
      <c r="E40" s="133" t="s">
        <v>3409</v>
      </c>
      <c r="F40" s="134" t="s">
        <v>3410</v>
      </c>
      <c r="G40" s="134" t="s">
        <v>3434</v>
      </c>
      <c r="H40" s="139">
        <v>43791</v>
      </c>
      <c r="I40" s="139">
        <v>43795</v>
      </c>
      <c r="J40" s="139" t="s">
        <v>3438</v>
      </c>
      <c r="K40" s="139" t="s">
        <v>3439</v>
      </c>
      <c r="L40" s="140">
        <v>-15907</v>
      </c>
      <c r="M40" s="140">
        <v>-7628.01</v>
      </c>
      <c r="N40" s="141">
        <v>0.4795379392720186</v>
      </c>
      <c r="O40" s="140">
        <v>-6826.33</v>
      </c>
      <c r="P40" s="141">
        <v>0.4291400012573081</v>
      </c>
      <c r="Q40" s="142">
        <v>0.8949031267656964</v>
      </c>
      <c r="R40" s="140">
        <v>-801.6800000000003</v>
      </c>
    </row>
    <row r="41" spans="2:18" ht="15">
      <c r="B41" s="133">
        <v>35</v>
      </c>
      <c r="C41" s="133">
        <v>100139</v>
      </c>
      <c r="D41" s="134" t="s">
        <v>3422</v>
      </c>
      <c r="E41" s="133" t="s">
        <v>3409</v>
      </c>
      <c r="F41" s="134" t="s">
        <v>3410</v>
      </c>
      <c r="G41" s="134" t="s">
        <v>3434</v>
      </c>
      <c r="H41" s="139">
        <v>43802</v>
      </c>
      <c r="I41" s="139">
        <v>43804</v>
      </c>
      <c r="J41" s="139" t="s">
        <v>3435</v>
      </c>
      <c r="K41" s="139" t="s">
        <v>3439</v>
      </c>
      <c r="L41" s="140">
        <v>-12963</v>
      </c>
      <c r="M41" s="140">
        <v>-34404.369999999995</v>
      </c>
      <c r="N41" s="141">
        <v>2.6540438170176652</v>
      </c>
      <c r="O41" s="140">
        <v>-19728.04</v>
      </c>
      <c r="P41" s="141">
        <v>1.5218730232199338</v>
      </c>
      <c r="Q41" s="142">
        <v>0.5734166909610612</v>
      </c>
      <c r="R41" s="140">
        <v>-14676.329999999994</v>
      </c>
    </row>
    <row r="42" spans="2:18" s="144" customFormat="1" ht="15">
      <c r="B42" s="145">
        <v>36</v>
      </c>
      <c r="C42" s="145">
        <v>100139</v>
      </c>
      <c r="D42" s="146" t="s">
        <v>3422</v>
      </c>
      <c r="E42" s="145" t="s">
        <v>3409</v>
      </c>
      <c r="F42" s="146" t="s">
        <v>3410</v>
      </c>
      <c r="G42" s="146" t="s">
        <v>3434</v>
      </c>
      <c r="H42" s="147">
        <v>43802</v>
      </c>
      <c r="I42" s="147">
        <v>43804</v>
      </c>
      <c r="J42" s="147" t="s">
        <v>3438</v>
      </c>
      <c r="K42" s="147" t="s">
        <v>3439</v>
      </c>
      <c r="L42" s="148">
        <v>-12963</v>
      </c>
      <c r="M42" s="148">
        <v>-34404.369999999995</v>
      </c>
      <c r="N42" s="149">
        <v>2.6540438170176652</v>
      </c>
      <c r="O42" s="148">
        <v>-19728.04</v>
      </c>
      <c r="P42" s="149">
        <v>1.5218730232199338</v>
      </c>
      <c r="Q42" s="150">
        <v>0.5734166909610612</v>
      </c>
      <c r="R42" s="148">
        <v>-14676.329999999994</v>
      </c>
    </row>
    <row r="43" spans="2:18" ht="15">
      <c r="B43" s="133">
        <v>37</v>
      </c>
      <c r="C43" s="133">
        <v>100139</v>
      </c>
      <c r="D43" s="134" t="s">
        <v>3422</v>
      </c>
      <c r="E43" s="133" t="s">
        <v>3409</v>
      </c>
      <c r="F43" s="134" t="s">
        <v>3410</v>
      </c>
      <c r="G43" s="134" t="s">
        <v>3434</v>
      </c>
      <c r="H43" s="139">
        <v>43817</v>
      </c>
      <c r="I43" s="139">
        <v>43819</v>
      </c>
      <c r="J43" s="139" t="s">
        <v>3435</v>
      </c>
      <c r="K43" s="139" t="s">
        <v>3439</v>
      </c>
      <c r="L43" s="140">
        <v>-182754</v>
      </c>
      <c r="M43" s="140">
        <v>-484298.1</v>
      </c>
      <c r="N43" s="141">
        <v>2.65</v>
      </c>
      <c r="O43" s="140">
        <v>-269022.03</v>
      </c>
      <c r="P43" s="141">
        <v>1.4720445516924392</v>
      </c>
      <c r="Q43" s="142">
        <v>0.5554885100726186</v>
      </c>
      <c r="R43" s="140">
        <v>-215276.06999999995</v>
      </c>
    </row>
    <row r="44" spans="2:18" ht="15">
      <c r="B44" s="133">
        <v>1</v>
      </c>
      <c r="C44" s="133">
        <v>100039</v>
      </c>
      <c r="D44" s="134" t="s">
        <v>3408</v>
      </c>
      <c r="E44" s="133" t="s">
        <v>3440</v>
      </c>
      <c r="F44" s="134" t="s">
        <v>3410</v>
      </c>
      <c r="G44" s="134" t="s">
        <v>3434</v>
      </c>
      <c r="H44" s="139">
        <v>43497</v>
      </c>
      <c r="I44" s="139">
        <v>43501</v>
      </c>
      <c r="J44" s="139" t="s">
        <v>3435</v>
      </c>
      <c r="K44" s="139" t="s">
        <v>3436</v>
      </c>
      <c r="L44" s="140">
        <v>176000</v>
      </c>
      <c r="M44" s="140">
        <v>176000</v>
      </c>
      <c r="N44" s="141">
        <v>1</v>
      </c>
      <c r="O44" s="140">
        <v>176000</v>
      </c>
      <c r="P44" s="141" t="s">
        <v>3437</v>
      </c>
      <c r="Q44" s="142" t="s">
        <v>3437</v>
      </c>
      <c r="R44" s="140" t="s">
        <v>3437</v>
      </c>
    </row>
    <row r="45" spans="2:18" ht="15">
      <c r="B45" s="133">
        <v>2</v>
      </c>
      <c r="C45" s="133">
        <v>100051</v>
      </c>
      <c r="D45" s="134" t="s">
        <v>3411</v>
      </c>
      <c r="E45" s="133" t="s">
        <v>3440</v>
      </c>
      <c r="F45" s="134" t="s">
        <v>3410</v>
      </c>
      <c r="G45" s="134" t="s">
        <v>3434</v>
      </c>
      <c r="H45" s="139">
        <v>43542</v>
      </c>
      <c r="I45" s="139">
        <v>43544</v>
      </c>
      <c r="J45" s="139" t="s">
        <v>3435</v>
      </c>
      <c r="K45" s="139" t="s">
        <v>3436</v>
      </c>
      <c r="L45" s="140">
        <v>2092175</v>
      </c>
      <c r="M45" s="140">
        <v>1590053</v>
      </c>
      <c r="N45" s="141">
        <v>0.76</v>
      </c>
      <c r="O45" s="140">
        <v>1590053</v>
      </c>
      <c r="P45" s="141" t="s">
        <v>3437</v>
      </c>
      <c r="Q45" s="142" t="s">
        <v>3437</v>
      </c>
      <c r="R45" s="140" t="s">
        <v>3437</v>
      </c>
    </row>
    <row r="46" spans="2:18" ht="15">
      <c r="B46" s="133">
        <v>3</v>
      </c>
      <c r="C46" s="133">
        <v>100022</v>
      </c>
      <c r="D46" s="134" t="s">
        <v>3412</v>
      </c>
      <c r="E46" s="133" t="s">
        <v>3440</v>
      </c>
      <c r="F46" s="134" t="s">
        <v>3410</v>
      </c>
      <c r="G46" s="134" t="s">
        <v>3434</v>
      </c>
      <c r="H46" s="139">
        <v>43586</v>
      </c>
      <c r="I46" s="139">
        <v>43588</v>
      </c>
      <c r="J46" s="139" t="s">
        <v>3438</v>
      </c>
      <c r="K46" s="139" t="s">
        <v>3439</v>
      </c>
      <c r="L46" s="140">
        <v>-12100</v>
      </c>
      <c r="M46" s="140">
        <v>-31711.85</v>
      </c>
      <c r="N46" s="141">
        <v>2.6208140495867767</v>
      </c>
      <c r="O46" s="140">
        <v>-483031</v>
      </c>
      <c r="P46" s="141">
        <v>39.9199173553719</v>
      </c>
      <c r="Q46" s="142">
        <v>15.23187704280892</v>
      </c>
      <c r="R46" s="140">
        <v>451319.15</v>
      </c>
    </row>
    <row r="47" spans="2:18" ht="15">
      <c r="B47" s="133">
        <v>4</v>
      </c>
      <c r="C47" s="133">
        <v>100022</v>
      </c>
      <c r="D47" s="134" t="s">
        <v>3412</v>
      </c>
      <c r="E47" s="133" t="s">
        <v>3440</v>
      </c>
      <c r="F47" s="134" t="s">
        <v>3410</v>
      </c>
      <c r="G47" s="134" t="s">
        <v>3434</v>
      </c>
      <c r="H47" s="139">
        <v>43602</v>
      </c>
      <c r="I47" s="139">
        <v>43606</v>
      </c>
      <c r="J47" s="139" t="s">
        <v>3438</v>
      </c>
      <c r="K47" s="139" t="s">
        <v>3439</v>
      </c>
      <c r="L47" s="140">
        <v>-13750</v>
      </c>
      <c r="M47" s="140">
        <v>-36036.2</v>
      </c>
      <c r="N47" s="141">
        <v>2.6208145454545453</v>
      </c>
      <c r="O47" s="140">
        <v>-537234.87</v>
      </c>
      <c r="P47" s="141">
        <v>39.07162690909091</v>
      </c>
      <c r="Q47" s="142">
        <v>14.908199810190865</v>
      </c>
      <c r="R47" s="140">
        <v>501198.67</v>
      </c>
    </row>
    <row r="48" spans="2:18" ht="15">
      <c r="B48" s="133">
        <v>5</v>
      </c>
      <c r="C48" s="133">
        <v>100022</v>
      </c>
      <c r="D48" s="134" t="s">
        <v>3412</v>
      </c>
      <c r="E48" s="133" t="s">
        <v>3440</v>
      </c>
      <c r="F48" s="134" t="s">
        <v>3410</v>
      </c>
      <c r="G48" s="134" t="s">
        <v>3434</v>
      </c>
      <c r="H48" s="139">
        <v>43605</v>
      </c>
      <c r="I48" s="139">
        <v>43607</v>
      </c>
      <c r="J48" s="139" t="s">
        <v>3438</v>
      </c>
      <c r="K48" s="139" t="s">
        <v>3439</v>
      </c>
      <c r="L48" s="140">
        <v>-22000</v>
      </c>
      <c r="M48" s="140">
        <v>-57657.91</v>
      </c>
      <c r="N48" s="141">
        <v>2.620814090909091</v>
      </c>
      <c r="O48" s="140">
        <v>-859576.4</v>
      </c>
      <c r="P48" s="141">
        <v>39.07165454545455</v>
      </c>
      <c r="Q48" s="142">
        <v>14.9082129407743</v>
      </c>
      <c r="R48" s="140">
        <v>801918.49</v>
      </c>
    </row>
    <row r="49" spans="2:18" ht="15">
      <c r="B49" s="133">
        <v>6</v>
      </c>
      <c r="C49" s="133">
        <v>100042</v>
      </c>
      <c r="D49" s="134" t="s">
        <v>3413</v>
      </c>
      <c r="E49" s="133" t="s">
        <v>3440</v>
      </c>
      <c r="F49" s="134" t="s">
        <v>3410</v>
      </c>
      <c r="G49" s="134" t="s">
        <v>3434</v>
      </c>
      <c r="H49" s="139">
        <v>43605</v>
      </c>
      <c r="I49" s="139">
        <v>43620</v>
      </c>
      <c r="J49" s="139" t="s">
        <v>3435</v>
      </c>
      <c r="K49" s="139" t="s">
        <v>3436</v>
      </c>
      <c r="L49" s="140">
        <v>2772000</v>
      </c>
      <c r="M49" s="140">
        <v>138600</v>
      </c>
      <c r="N49" s="141">
        <v>0.05</v>
      </c>
      <c r="O49" s="140">
        <v>138600</v>
      </c>
      <c r="P49" s="141" t="s">
        <v>3437</v>
      </c>
      <c r="Q49" s="142" t="s">
        <v>3437</v>
      </c>
      <c r="R49" s="140" t="s">
        <v>3437</v>
      </c>
    </row>
    <row r="50" spans="2:18" ht="15">
      <c r="B50" s="133">
        <v>7</v>
      </c>
      <c r="C50" s="133">
        <v>100022</v>
      </c>
      <c r="D50" s="134" t="s">
        <v>3412</v>
      </c>
      <c r="E50" s="133" t="s">
        <v>3440</v>
      </c>
      <c r="F50" s="134" t="s">
        <v>3410</v>
      </c>
      <c r="G50" s="134" t="s">
        <v>3434</v>
      </c>
      <c r="H50" s="139">
        <v>43607</v>
      </c>
      <c r="I50" s="139">
        <v>43609</v>
      </c>
      <c r="J50" s="139" t="s">
        <v>3438</v>
      </c>
      <c r="K50" s="139" t="s">
        <v>3439</v>
      </c>
      <c r="L50" s="140">
        <v>-14575</v>
      </c>
      <c r="M50" s="140">
        <v>-38198.37</v>
      </c>
      <c r="N50" s="141">
        <v>2.6208144082332763</v>
      </c>
      <c r="O50" s="140">
        <v>-569469.03</v>
      </c>
      <c r="P50" s="141">
        <v>39.07163156089194</v>
      </c>
      <c r="Q50" s="142">
        <v>14.908202365703039</v>
      </c>
      <c r="R50" s="140">
        <v>531270.66</v>
      </c>
    </row>
    <row r="51" spans="2:18" ht="15">
      <c r="B51" s="133">
        <v>8</v>
      </c>
      <c r="C51" s="133">
        <v>100137</v>
      </c>
      <c r="D51" s="143" t="s">
        <v>3414</v>
      </c>
      <c r="E51" s="133" t="s">
        <v>3440</v>
      </c>
      <c r="F51" s="134" t="s">
        <v>3410</v>
      </c>
      <c r="G51" s="134" t="s">
        <v>3434</v>
      </c>
      <c r="H51" s="139">
        <v>43720</v>
      </c>
      <c r="I51" s="139">
        <v>43724</v>
      </c>
      <c r="J51" s="139" t="s">
        <v>3438</v>
      </c>
      <c r="K51" s="139" t="s">
        <v>3439</v>
      </c>
      <c r="L51" s="140">
        <v>-545489</v>
      </c>
      <c r="M51" s="140">
        <v>-285814</v>
      </c>
      <c r="N51" s="141">
        <v>0.5239592365748896</v>
      </c>
      <c r="O51" s="140">
        <v>-229289.1</v>
      </c>
      <c r="P51" s="141">
        <v>0.4203367987255472</v>
      </c>
      <c r="Q51" s="142">
        <v>0.8022318710769941</v>
      </c>
      <c r="R51" s="140">
        <v>-56524.899999999994</v>
      </c>
    </row>
    <row r="52" spans="2:18" ht="15">
      <c r="B52" s="133">
        <v>9</v>
      </c>
      <c r="C52" s="133">
        <v>100125</v>
      </c>
      <c r="D52" s="143" t="s">
        <v>3415</v>
      </c>
      <c r="E52" s="133" t="s">
        <v>3440</v>
      </c>
      <c r="F52" s="134" t="s">
        <v>3410</v>
      </c>
      <c r="G52" s="134" t="s">
        <v>3434</v>
      </c>
      <c r="H52" s="139">
        <v>43726</v>
      </c>
      <c r="I52" s="139">
        <v>43726</v>
      </c>
      <c r="J52" s="139" t="s">
        <v>3435</v>
      </c>
      <c r="K52" s="139" t="s">
        <v>3439</v>
      </c>
      <c r="L52" s="140">
        <v>-2548388</v>
      </c>
      <c r="M52" s="140">
        <v>-1324194</v>
      </c>
      <c r="N52" s="141">
        <v>0.5196202462105457</v>
      </c>
      <c r="O52" s="140">
        <v>-3567813.2</v>
      </c>
      <c r="P52" s="141">
        <v>1.400027468344695</v>
      </c>
      <c r="Q52" s="142">
        <v>2.694328172458114</v>
      </c>
      <c r="R52" s="140">
        <v>2243619.2</v>
      </c>
    </row>
    <row r="53" spans="2:18" ht="15">
      <c r="B53" s="133">
        <v>10</v>
      </c>
      <c r="C53" s="133">
        <v>100125</v>
      </c>
      <c r="D53" s="143" t="s">
        <v>3415</v>
      </c>
      <c r="E53" s="133" t="s">
        <v>3440</v>
      </c>
      <c r="F53" s="134" t="s">
        <v>3410</v>
      </c>
      <c r="G53" s="134" t="s">
        <v>3434</v>
      </c>
      <c r="H53" s="139">
        <v>43726</v>
      </c>
      <c r="I53" s="139">
        <v>43726</v>
      </c>
      <c r="J53" s="139" t="s">
        <v>3438</v>
      </c>
      <c r="K53" s="139" t="s">
        <v>3439</v>
      </c>
      <c r="L53" s="140">
        <v>-50</v>
      </c>
      <c r="M53" s="140">
        <v>-33.16</v>
      </c>
      <c r="N53" s="141">
        <v>0.6631999999999999</v>
      </c>
      <c r="O53" s="140">
        <v>0</v>
      </c>
      <c r="P53" s="141">
        <v>0</v>
      </c>
      <c r="Q53" s="142">
        <v>0</v>
      </c>
      <c r="R53" s="140">
        <v>-33.16</v>
      </c>
    </row>
    <row r="54" spans="2:18" ht="15">
      <c r="B54" s="133">
        <v>11</v>
      </c>
      <c r="C54" s="133">
        <v>100137</v>
      </c>
      <c r="D54" s="143" t="s">
        <v>3414</v>
      </c>
      <c r="E54" s="133" t="s">
        <v>3440</v>
      </c>
      <c r="F54" s="134" t="s">
        <v>3410</v>
      </c>
      <c r="G54" s="134" t="s">
        <v>3434</v>
      </c>
      <c r="H54" s="139">
        <v>43728</v>
      </c>
      <c r="I54" s="139">
        <v>43732</v>
      </c>
      <c r="J54" s="139" t="s">
        <v>3438</v>
      </c>
      <c r="K54" s="139" t="s">
        <v>3439</v>
      </c>
      <c r="L54" s="140">
        <v>-6819</v>
      </c>
      <c r="M54" s="140">
        <v>-3572.88</v>
      </c>
      <c r="N54" s="141">
        <v>0.5239595248570171</v>
      </c>
      <c r="O54" s="140">
        <v>-3028.39</v>
      </c>
      <c r="P54" s="141">
        <v>0.4441105733978589</v>
      </c>
      <c r="Q54" s="142">
        <v>0.8476047334363314</v>
      </c>
      <c r="R54" s="140">
        <v>-544.4900000000002</v>
      </c>
    </row>
    <row r="55" spans="2:18" ht="15">
      <c r="B55" s="133">
        <v>12</v>
      </c>
      <c r="C55" s="133">
        <v>100249</v>
      </c>
      <c r="D55" s="143" t="s">
        <v>3416</v>
      </c>
      <c r="E55" s="133" t="s">
        <v>3440</v>
      </c>
      <c r="F55" s="134" t="s">
        <v>3410</v>
      </c>
      <c r="G55" s="134" t="s">
        <v>3434</v>
      </c>
      <c r="H55" s="139">
        <v>43735</v>
      </c>
      <c r="I55" s="139">
        <v>43738</v>
      </c>
      <c r="J55" s="139" t="s">
        <v>3435</v>
      </c>
      <c r="K55" s="139" t="s">
        <v>3436</v>
      </c>
      <c r="L55" s="140">
        <v>3533333</v>
      </c>
      <c r="M55" s="140">
        <v>1589999.85</v>
      </c>
      <c r="N55" s="141">
        <v>0.45</v>
      </c>
      <c r="O55" s="140">
        <v>1589999.85</v>
      </c>
      <c r="P55" s="141" t="s">
        <v>3437</v>
      </c>
      <c r="Q55" s="142" t="s">
        <v>3437</v>
      </c>
      <c r="R55" s="140" t="s">
        <v>3437</v>
      </c>
    </row>
    <row r="56" spans="2:18" ht="15">
      <c r="B56" s="133">
        <v>13</v>
      </c>
      <c r="C56" s="133">
        <v>100039</v>
      </c>
      <c r="D56" s="134" t="s">
        <v>3408</v>
      </c>
      <c r="E56" s="133" t="s">
        <v>3440</v>
      </c>
      <c r="F56" s="134" t="s">
        <v>3410</v>
      </c>
      <c r="G56" s="134" t="s">
        <v>3434</v>
      </c>
      <c r="H56" s="139">
        <v>43738</v>
      </c>
      <c r="I56" s="139">
        <v>43758</v>
      </c>
      <c r="J56" s="139" t="s">
        <v>3435</v>
      </c>
      <c r="K56" s="139" t="s">
        <v>3436</v>
      </c>
      <c r="L56" s="140">
        <v>874500</v>
      </c>
      <c r="M56" s="140">
        <v>874500</v>
      </c>
      <c r="N56" s="141">
        <v>1</v>
      </c>
      <c r="O56" s="140">
        <v>874500</v>
      </c>
      <c r="P56" s="141" t="s">
        <v>3437</v>
      </c>
      <c r="Q56" s="142" t="s">
        <v>3437</v>
      </c>
      <c r="R56" s="140" t="s">
        <v>3437</v>
      </c>
    </row>
    <row r="57" spans="2:18" ht="15">
      <c r="B57" s="133">
        <v>14</v>
      </c>
      <c r="C57" s="133">
        <v>100110</v>
      </c>
      <c r="D57" s="134" t="s">
        <v>3417</v>
      </c>
      <c r="E57" s="133" t="s">
        <v>3440</v>
      </c>
      <c r="F57" s="134" t="s">
        <v>3410</v>
      </c>
      <c r="G57" s="134" t="s">
        <v>3434</v>
      </c>
      <c r="H57" s="139">
        <v>43738</v>
      </c>
      <c r="I57" s="139">
        <v>43738</v>
      </c>
      <c r="J57" s="139" t="s">
        <v>3435</v>
      </c>
      <c r="K57" s="139" t="s">
        <v>3439</v>
      </c>
      <c r="L57" s="140">
        <v>-21666667</v>
      </c>
      <c r="M57" s="140">
        <v>-1010000.01</v>
      </c>
      <c r="N57" s="141">
        <v>0.04661538435976332</v>
      </c>
      <c r="O57" s="140">
        <v>-9.09494701772928E-13</v>
      </c>
      <c r="P57" s="141">
        <v>4.1976677897570864E-20</v>
      </c>
      <c r="Q57" s="142">
        <v>9.004897948198318E-19</v>
      </c>
      <c r="R57" s="140">
        <v>-1010000.01</v>
      </c>
    </row>
    <row r="58" spans="2:18" ht="15">
      <c r="B58" s="133">
        <v>15</v>
      </c>
      <c r="C58" s="133">
        <v>100110</v>
      </c>
      <c r="D58" s="134" t="s">
        <v>3417</v>
      </c>
      <c r="E58" s="133" t="s">
        <v>3440</v>
      </c>
      <c r="F58" s="134" t="s">
        <v>3410</v>
      </c>
      <c r="G58" s="134" t="s">
        <v>3434</v>
      </c>
      <c r="H58" s="139">
        <v>43738</v>
      </c>
      <c r="I58" s="139">
        <v>43738</v>
      </c>
      <c r="J58" s="139" t="s">
        <v>3438</v>
      </c>
      <c r="K58" s="139" t="s">
        <v>3439</v>
      </c>
      <c r="L58" s="140">
        <v>-688774</v>
      </c>
      <c r="M58" s="140">
        <v>-10331.62</v>
      </c>
      <c r="N58" s="141">
        <v>0.015000014518550353</v>
      </c>
      <c r="O58" s="140">
        <v>0</v>
      </c>
      <c r="P58" s="141">
        <v>0</v>
      </c>
      <c r="Q58" s="142">
        <v>0</v>
      </c>
      <c r="R58" s="140">
        <v>-10331.62</v>
      </c>
    </row>
    <row r="59" spans="2:18" ht="15">
      <c r="B59" s="133">
        <v>16</v>
      </c>
      <c r="C59" s="133">
        <v>100024</v>
      </c>
      <c r="D59" s="134" t="s">
        <v>3418</v>
      </c>
      <c r="E59" s="133" t="s">
        <v>3440</v>
      </c>
      <c r="F59" s="134" t="s">
        <v>3410</v>
      </c>
      <c r="G59" s="134" t="s">
        <v>3434</v>
      </c>
      <c r="H59" s="139">
        <v>43742</v>
      </c>
      <c r="I59" s="139">
        <v>43746</v>
      </c>
      <c r="J59" s="139" t="s">
        <v>3435</v>
      </c>
      <c r="K59" s="139" t="s">
        <v>3439</v>
      </c>
      <c r="L59" s="140">
        <v>-1105000</v>
      </c>
      <c r="M59" s="140">
        <v>-651950</v>
      </c>
      <c r="N59" s="141">
        <v>0.59</v>
      </c>
      <c r="O59" s="140">
        <v>-22054.8</v>
      </c>
      <c r="P59" s="141">
        <v>0.019959095022624433</v>
      </c>
      <c r="Q59" s="142">
        <v>0.03382897461461768</v>
      </c>
      <c r="R59" s="140">
        <v>-629895.2</v>
      </c>
    </row>
    <row r="60" spans="2:18" ht="15">
      <c r="B60" s="133">
        <v>17</v>
      </c>
      <c r="C60" s="133">
        <v>100072</v>
      </c>
      <c r="D60" s="134" t="s">
        <v>3419</v>
      </c>
      <c r="E60" s="133" t="s">
        <v>3440</v>
      </c>
      <c r="F60" s="134" t="s">
        <v>3410</v>
      </c>
      <c r="G60" s="134" t="s">
        <v>3434</v>
      </c>
      <c r="H60" s="139">
        <v>43745</v>
      </c>
      <c r="I60" s="139">
        <v>43747</v>
      </c>
      <c r="J60" s="139" t="s">
        <v>3438</v>
      </c>
      <c r="K60" s="139" t="s">
        <v>3439</v>
      </c>
      <c r="L60" s="140">
        <v>-302500</v>
      </c>
      <c r="M60" s="140">
        <v>-102850</v>
      </c>
      <c r="N60" s="141">
        <v>0.34</v>
      </c>
      <c r="O60" s="140">
        <v>-440765.7</v>
      </c>
      <c r="P60" s="141">
        <v>1.457076694214876</v>
      </c>
      <c r="Q60" s="142">
        <v>4.285519688867282</v>
      </c>
      <c r="R60" s="140">
        <v>337915.7</v>
      </c>
    </row>
    <row r="61" spans="2:18" ht="15">
      <c r="B61" s="133">
        <v>18</v>
      </c>
      <c r="C61" s="133">
        <v>100072</v>
      </c>
      <c r="D61" s="134" t="s">
        <v>3419</v>
      </c>
      <c r="E61" s="133" t="s">
        <v>3440</v>
      </c>
      <c r="F61" s="134" t="s">
        <v>3410</v>
      </c>
      <c r="G61" s="134" t="s">
        <v>3434</v>
      </c>
      <c r="H61" s="139">
        <v>43746</v>
      </c>
      <c r="I61" s="139">
        <v>43748</v>
      </c>
      <c r="J61" s="139" t="s">
        <v>3438</v>
      </c>
      <c r="K61" s="139" t="s">
        <v>3439</v>
      </c>
      <c r="L61" s="140">
        <v>-55000</v>
      </c>
      <c r="M61" s="140">
        <v>-18700</v>
      </c>
      <c r="N61" s="141">
        <v>0.34</v>
      </c>
      <c r="O61" s="140">
        <v>-80961.75</v>
      </c>
      <c r="P61" s="141">
        <v>1.4720318181818182</v>
      </c>
      <c r="Q61" s="142">
        <v>4.3295053475935825</v>
      </c>
      <c r="R61" s="140">
        <v>62261.75</v>
      </c>
    </row>
    <row r="62" spans="2:18" ht="15">
      <c r="B62" s="133">
        <v>19</v>
      </c>
      <c r="C62" s="133">
        <v>100072</v>
      </c>
      <c r="D62" s="134" t="s">
        <v>3419</v>
      </c>
      <c r="E62" s="133" t="s">
        <v>3440</v>
      </c>
      <c r="F62" s="134" t="s">
        <v>3410</v>
      </c>
      <c r="G62" s="134" t="s">
        <v>3434</v>
      </c>
      <c r="H62" s="139">
        <v>43747</v>
      </c>
      <c r="I62" s="139">
        <v>43749</v>
      </c>
      <c r="J62" s="139" t="s">
        <v>3438</v>
      </c>
      <c r="K62" s="139" t="s">
        <v>3439</v>
      </c>
      <c r="L62" s="140">
        <v>-27500</v>
      </c>
      <c r="M62" s="140">
        <v>-9350</v>
      </c>
      <c r="N62" s="141">
        <v>0.34</v>
      </c>
      <c r="O62" s="140">
        <v>-40480.37</v>
      </c>
      <c r="P62" s="141">
        <v>1.4720134545454546</v>
      </c>
      <c r="Q62" s="142">
        <v>4.329451336898396</v>
      </c>
      <c r="R62" s="140">
        <v>31130.370000000003</v>
      </c>
    </row>
    <row r="63" spans="2:18" ht="15">
      <c r="B63" s="133">
        <v>20</v>
      </c>
      <c r="C63" s="133">
        <v>100072</v>
      </c>
      <c r="D63" s="134" t="s">
        <v>3419</v>
      </c>
      <c r="E63" s="133" t="s">
        <v>3440</v>
      </c>
      <c r="F63" s="134" t="s">
        <v>3410</v>
      </c>
      <c r="G63" s="134" t="s">
        <v>3434</v>
      </c>
      <c r="H63" s="139">
        <v>43748</v>
      </c>
      <c r="I63" s="139">
        <v>43752</v>
      </c>
      <c r="J63" s="139" t="s">
        <v>3438</v>
      </c>
      <c r="K63" s="139" t="s">
        <v>3439</v>
      </c>
      <c r="L63" s="140">
        <v>-25850</v>
      </c>
      <c r="M63" s="140">
        <v>-8789</v>
      </c>
      <c r="N63" s="141">
        <v>0.34</v>
      </c>
      <c r="O63" s="140">
        <v>-38549.41</v>
      </c>
      <c r="P63" s="141">
        <v>1.4912731141199227</v>
      </c>
      <c r="Q63" s="142">
        <v>4.386097394470361</v>
      </c>
      <c r="R63" s="140">
        <v>29760.410000000003</v>
      </c>
    </row>
    <row r="64" spans="2:18" ht="15">
      <c r="B64" s="133">
        <v>21</v>
      </c>
      <c r="C64" s="133">
        <v>100072</v>
      </c>
      <c r="D64" s="134" t="s">
        <v>3419</v>
      </c>
      <c r="E64" s="133" t="s">
        <v>3440</v>
      </c>
      <c r="F64" s="134" t="s">
        <v>3410</v>
      </c>
      <c r="G64" s="134" t="s">
        <v>3434</v>
      </c>
      <c r="H64" s="139">
        <v>43749</v>
      </c>
      <c r="I64" s="139">
        <v>43753</v>
      </c>
      <c r="J64" s="139" t="s">
        <v>3438</v>
      </c>
      <c r="K64" s="139" t="s">
        <v>3439</v>
      </c>
      <c r="L64" s="140">
        <v>-22000</v>
      </c>
      <c r="M64" s="140">
        <v>-7480</v>
      </c>
      <c r="N64" s="141">
        <v>0.34</v>
      </c>
      <c r="O64" s="140">
        <v>-32741.98</v>
      </c>
      <c r="P64" s="141">
        <v>1.4882718181818182</v>
      </c>
      <c r="Q64" s="142">
        <v>4.377270053475936</v>
      </c>
      <c r="R64" s="140">
        <v>25261.98</v>
      </c>
    </row>
    <row r="65" spans="2:18" s="144" customFormat="1" ht="15">
      <c r="B65" s="145">
        <v>22</v>
      </c>
      <c r="C65" s="145">
        <v>100072</v>
      </c>
      <c r="D65" s="146" t="s">
        <v>3419</v>
      </c>
      <c r="E65" s="145" t="s">
        <v>3440</v>
      </c>
      <c r="F65" s="146" t="s">
        <v>3410</v>
      </c>
      <c r="G65" s="146" t="s">
        <v>3434</v>
      </c>
      <c r="H65" s="147">
        <v>43755</v>
      </c>
      <c r="I65" s="147">
        <v>43759</v>
      </c>
      <c r="J65" s="147" t="s">
        <v>3438</v>
      </c>
      <c r="K65" s="147" t="s">
        <v>3439</v>
      </c>
      <c r="L65" s="148">
        <v>-1024567</v>
      </c>
      <c r="M65" s="148">
        <v>-295427.6</v>
      </c>
      <c r="N65" s="149">
        <v>0.2883438564779072</v>
      </c>
      <c r="O65" s="148">
        <v>-1508212.85</v>
      </c>
      <c r="P65" s="149">
        <v>1.4720490216842823</v>
      </c>
      <c r="Q65" s="150">
        <v>5.105186008348578</v>
      </c>
      <c r="R65" s="148">
        <v>1212785.25</v>
      </c>
    </row>
    <row r="66" spans="2:18" ht="15">
      <c r="B66" s="133">
        <v>23</v>
      </c>
      <c r="C66" s="133">
        <v>100072</v>
      </c>
      <c r="D66" s="134" t="s">
        <v>3419</v>
      </c>
      <c r="E66" s="133" t="s">
        <v>3440</v>
      </c>
      <c r="F66" s="134" t="s">
        <v>3410</v>
      </c>
      <c r="G66" s="134" t="s">
        <v>3434</v>
      </c>
      <c r="H66" s="139">
        <v>43755</v>
      </c>
      <c r="I66" s="139">
        <v>43759</v>
      </c>
      <c r="J66" s="139" t="s">
        <v>3435</v>
      </c>
      <c r="K66" s="139" t="s">
        <v>3439</v>
      </c>
      <c r="L66" s="140">
        <v>-1024567</v>
      </c>
      <c r="M66" s="140">
        <v>-295427.6</v>
      </c>
      <c r="N66" s="141">
        <v>0.2883438564779072</v>
      </c>
      <c r="O66" s="140">
        <v>-1508212.85</v>
      </c>
      <c r="P66" s="141">
        <v>1.4720490216842823</v>
      </c>
      <c r="Q66" s="142">
        <v>5.105186008348578</v>
      </c>
      <c r="R66" s="140">
        <v>1212785.25</v>
      </c>
    </row>
    <row r="67" spans="2:18" ht="15">
      <c r="B67" s="133">
        <v>24</v>
      </c>
      <c r="C67" s="133">
        <v>100137</v>
      </c>
      <c r="D67" s="134" t="s">
        <v>3414</v>
      </c>
      <c r="E67" s="133" t="s">
        <v>3440</v>
      </c>
      <c r="F67" s="134" t="s">
        <v>3410</v>
      </c>
      <c r="G67" s="134" t="s">
        <v>3434</v>
      </c>
      <c r="H67" s="139">
        <v>43756</v>
      </c>
      <c r="I67" s="139">
        <v>43760</v>
      </c>
      <c r="J67" s="139" t="s">
        <v>3438</v>
      </c>
      <c r="K67" s="139" t="s">
        <v>3439</v>
      </c>
      <c r="L67" s="140">
        <v>-255016</v>
      </c>
      <c r="M67" s="140">
        <v>-133617.98</v>
      </c>
      <c r="N67" s="141">
        <v>0.5239592025598394</v>
      </c>
      <c r="O67" s="140">
        <v>-109436.57</v>
      </c>
      <c r="P67" s="141">
        <v>0.42913609342158926</v>
      </c>
      <c r="Q67" s="142">
        <v>0.8190257778182247</v>
      </c>
      <c r="R67" s="140">
        <v>-24181.410000000003</v>
      </c>
    </row>
    <row r="68" spans="2:18" ht="15">
      <c r="B68" s="133">
        <v>25</v>
      </c>
      <c r="C68" s="133">
        <v>100137</v>
      </c>
      <c r="D68" s="134" t="s">
        <v>3414</v>
      </c>
      <c r="E68" s="133" t="s">
        <v>3440</v>
      </c>
      <c r="F68" s="134" t="s">
        <v>3410</v>
      </c>
      <c r="G68" s="134" t="s">
        <v>3434</v>
      </c>
      <c r="H68" s="139">
        <v>43759</v>
      </c>
      <c r="I68" s="139">
        <v>43761</v>
      </c>
      <c r="J68" s="139" t="s">
        <v>3438</v>
      </c>
      <c r="K68" s="139" t="s">
        <v>3439</v>
      </c>
      <c r="L68" s="140">
        <v>-17728</v>
      </c>
      <c r="M68" s="140">
        <v>-9288.75</v>
      </c>
      <c r="N68" s="141">
        <v>0.5239592734657039</v>
      </c>
      <c r="O68" s="140">
        <v>-7713.95</v>
      </c>
      <c r="P68" s="141">
        <v>0.43512804602888083</v>
      </c>
      <c r="Q68" s="142">
        <v>0.83046157986812</v>
      </c>
      <c r="R68" s="140">
        <v>-1574.8000000000002</v>
      </c>
    </row>
    <row r="69" spans="2:18" ht="15">
      <c r="B69" s="133">
        <v>26</v>
      </c>
      <c r="C69" s="133">
        <v>100072</v>
      </c>
      <c r="D69" s="134" t="s">
        <v>3419</v>
      </c>
      <c r="E69" s="133" t="s">
        <v>3440</v>
      </c>
      <c r="F69" s="134" t="s">
        <v>3410</v>
      </c>
      <c r="G69" s="134" t="s">
        <v>3434</v>
      </c>
      <c r="H69" s="139">
        <v>43760</v>
      </c>
      <c r="I69" s="139">
        <v>43762</v>
      </c>
      <c r="J69" s="139" t="s">
        <v>3435</v>
      </c>
      <c r="K69" s="139" t="s">
        <v>3439</v>
      </c>
      <c r="L69" s="140">
        <v>-55000</v>
      </c>
      <c r="M69" s="140">
        <v>-14212</v>
      </c>
      <c r="N69" s="141">
        <v>0.2584</v>
      </c>
      <c r="O69" s="140">
        <v>-81373.42</v>
      </c>
      <c r="P69" s="141">
        <v>1.4795167272727272</v>
      </c>
      <c r="Q69" s="142">
        <v>5.725683929074022</v>
      </c>
      <c r="R69" s="140">
        <v>67161.42</v>
      </c>
    </row>
    <row r="70" spans="2:18" ht="15">
      <c r="B70" s="133">
        <v>27</v>
      </c>
      <c r="C70" s="133">
        <v>100072</v>
      </c>
      <c r="D70" s="134" t="s">
        <v>3419</v>
      </c>
      <c r="E70" s="133" t="s">
        <v>3440</v>
      </c>
      <c r="F70" s="134" t="s">
        <v>3410</v>
      </c>
      <c r="G70" s="134" t="s">
        <v>3434</v>
      </c>
      <c r="H70" s="139">
        <v>43763</v>
      </c>
      <c r="I70" s="139">
        <v>43767</v>
      </c>
      <c r="J70" s="139" t="s">
        <v>3435</v>
      </c>
      <c r="K70" s="139" t="s">
        <v>3439</v>
      </c>
      <c r="L70" s="140">
        <v>-66000</v>
      </c>
      <c r="M70" s="140">
        <v>-17054.4</v>
      </c>
      <c r="N70" s="141">
        <v>0.2584</v>
      </c>
      <c r="O70" s="140">
        <v>-97812.98</v>
      </c>
      <c r="P70" s="141">
        <v>1.4820148484848483</v>
      </c>
      <c r="Q70" s="142">
        <v>5.735351580823716</v>
      </c>
      <c r="R70" s="140">
        <v>80758.57999999999</v>
      </c>
    </row>
    <row r="71" spans="2:18" ht="15">
      <c r="B71" s="133">
        <v>28</v>
      </c>
      <c r="C71" s="133">
        <v>100012</v>
      </c>
      <c r="D71" s="134" t="s">
        <v>3420</v>
      </c>
      <c r="E71" s="133" t="s">
        <v>3440</v>
      </c>
      <c r="F71" s="134" t="s">
        <v>3410</v>
      </c>
      <c r="G71" s="134" t="s">
        <v>3434</v>
      </c>
      <c r="H71" s="139">
        <v>43770</v>
      </c>
      <c r="I71" s="139">
        <v>43770</v>
      </c>
      <c r="J71" s="139" t="s">
        <v>3435</v>
      </c>
      <c r="K71" s="139" t="s">
        <v>3439</v>
      </c>
      <c r="L71" s="140">
        <v>-331407</v>
      </c>
      <c r="M71" s="140">
        <v>-117650.03</v>
      </c>
      <c r="N71" s="141">
        <v>0.35500164450358623</v>
      </c>
      <c r="O71" s="140">
        <v>-33140.700000000004</v>
      </c>
      <c r="P71" s="141">
        <v>0.10000000000000002</v>
      </c>
      <c r="Q71" s="142">
        <v>0.2816888359484482</v>
      </c>
      <c r="R71" s="140">
        <v>-84509.32999999999</v>
      </c>
    </row>
    <row r="72" spans="2:18" s="144" customFormat="1" ht="15">
      <c r="B72" s="145">
        <v>29</v>
      </c>
      <c r="C72" s="145">
        <v>100012</v>
      </c>
      <c r="D72" s="146" t="s">
        <v>3420</v>
      </c>
      <c r="E72" s="145" t="s">
        <v>3440</v>
      </c>
      <c r="F72" s="146" t="s">
        <v>3410</v>
      </c>
      <c r="G72" s="146" t="s">
        <v>3434</v>
      </c>
      <c r="H72" s="147">
        <v>43770</v>
      </c>
      <c r="I72" s="147">
        <v>43770</v>
      </c>
      <c r="J72" s="147" t="s">
        <v>3438</v>
      </c>
      <c r="K72" s="147" t="s">
        <v>3439</v>
      </c>
      <c r="L72" s="148">
        <v>-331407</v>
      </c>
      <c r="M72" s="148">
        <v>-117650.03</v>
      </c>
      <c r="N72" s="149">
        <v>0.35500164450358623</v>
      </c>
      <c r="O72" s="148">
        <v>-33140.700000000004</v>
      </c>
      <c r="P72" s="149">
        <v>0.10000000000000002</v>
      </c>
      <c r="Q72" s="150">
        <v>0.2816888359484482</v>
      </c>
      <c r="R72" s="148">
        <v>-84509.32999999999</v>
      </c>
    </row>
    <row r="73" spans="2:18" ht="15">
      <c r="B73" s="133">
        <v>30</v>
      </c>
      <c r="C73" s="133">
        <v>100137</v>
      </c>
      <c r="D73" s="134" t="s">
        <v>3414</v>
      </c>
      <c r="E73" s="133" t="s">
        <v>3440</v>
      </c>
      <c r="F73" s="134" t="s">
        <v>3410</v>
      </c>
      <c r="G73" s="134" t="s">
        <v>3434</v>
      </c>
      <c r="H73" s="139">
        <v>43770</v>
      </c>
      <c r="I73" s="139">
        <v>43774</v>
      </c>
      <c r="J73" s="139" t="s">
        <v>3438</v>
      </c>
      <c r="K73" s="139" t="s">
        <v>3439</v>
      </c>
      <c r="L73" s="140">
        <v>-17046</v>
      </c>
      <c r="M73" s="140">
        <v>-8931.41</v>
      </c>
      <c r="N73" s="141">
        <v>0.523959286636161</v>
      </c>
      <c r="O73" s="140">
        <v>-7400.18</v>
      </c>
      <c r="P73" s="141">
        <v>0.4341300011732958</v>
      </c>
      <c r="Q73" s="142">
        <v>0.8285567452395535</v>
      </c>
      <c r="R73" s="140">
        <v>-1531.2299999999996</v>
      </c>
    </row>
    <row r="74" spans="2:18" ht="15">
      <c r="B74" s="133">
        <v>31</v>
      </c>
      <c r="C74" s="133">
        <v>100114</v>
      </c>
      <c r="D74" s="134" t="s">
        <v>3421</v>
      </c>
      <c r="E74" s="133" t="s">
        <v>3440</v>
      </c>
      <c r="F74" s="134" t="s">
        <v>3410</v>
      </c>
      <c r="G74" s="134" t="s">
        <v>3434</v>
      </c>
      <c r="H74" s="139">
        <v>43789</v>
      </c>
      <c r="I74" s="139">
        <v>43789</v>
      </c>
      <c r="J74" s="139" t="s">
        <v>3435</v>
      </c>
      <c r="K74" s="139" t="s">
        <v>3439</v>
      </c>
      <c r="L74" s="140">
        <v>-2545597</v>
      </c>
      <c r="M74" s="140">
        <v>-2539025.06</v>
      </c>
      <c r="N74" s="141">
        <v>0.9974183109109572</v>
      </c>
      <c r="O74" s="140">
        <v>-3181996.25</v>
      </c>
      <c r="P74" s="141">
        <v>1.25</v>
      </c>
      <c r="Q74" s="142">
        <v>1.2532354643242474</v>
      </c>
      <c r="R74" s="140">
        <v>642971.19</v>
      </c>
    </row>
    <row r="75" spans="2:18" s="144" customFormat="1" ht="15">
      <c r="B75" s="145">
        <v>32</v>
      </c>
      <c r="C75" s="145">
        <v>100114</v>
      </c>
      <c r="D75" s="146" t="s">
        <v>3421</v>
      </c>
      <c r="E75" s="145" t="s">
        <v>3440</v>
      </c>
      <c r="F75" s="146" t="s">
        <v>3410</v>
      </c>
      <c r="G75" s="146" t="s">
        <v>3434</v>
      </c>
      <c r="H75" s="147">
        <v>43789</v>
      </c>
      <c r="I75" s="147">
        <v>43789</v>
      </c>
      <c r="J75" s="147" t="s">
        <v>3438</v>
      </c>
      <c r="K75" s="147" t="s">
        <v>3439</v>
      </c>
      <c r="L75" s="148">
        <v>-2545597</v>
      </c>
      <c r="M75" s="148">
        <v>-2539025.06</v>
      </c>
      <c r="N75" s="149">
        <v>0.9974183109109572</v>
      </c>
      <c r="O75" s="148">
        <v>-3181996.25</v>
      </c>
      <c r="P75" s="149">
        <v>1.25</v>
      </c>
      <c r="Q75" s="150">
        <v>1.2532354643242474</v>
      </c>
      <c r="R75" s="148">
        <v>642971.19</v>
      </c>
    </row>
    <row r="76" spans="2:18" ht="15">
      <c r="B76" s="133">
        <v>33</v>
      </c>
      <c r="C76" s="133">
        <v>100137</v>
      </c>
      <c r="D76" s="134" t="s">
        <v>3414</v>
      </c>
      <c r="E76" s="133" t="s">
        <v>3440</v>
      </c>
      <c r="F76" s="134" t="s">
        <v>3410</v>
      </c>
      <c r="G76" s="134" t="s">
        <v>3434</v>
      </c>
      <c r="H76" s="139">
        <v>43789</v>
      </c>
      <c r="I76" s="139">
        <v>43791</v>
      </c>
      <c r="J76" s="139" t="s">
        <v>3438</v>
      </c>
      <c r="K76" s="139" t="s">
        <v>3439</v>
      </c>
      <c r="L76" s="140">
        <v>-51140</v>
      </c>
      <c r="M76" s="140">
        <v>-26795.27</v>
      </c>
      <c r="N76" s="141">
        <v>0.5239591317950724</v>
      </c>
      <c r="O76" s="140">
        <v>-21690.03</v>
      </c>
      <c r="P76" s="141">
        <v>0.4241304262807978</v>
      </c>
      <c r="Q76" s="142">
        <v>0.809472343439719</v>
      </c>
      <c r="R76" s="140">
        <v>-5105.240000000002</v>
      </c>
    </row>
    <row r="77" spans="2:18" ht="15">
      <c r="B77" s="133">
        <v>34</v>
      </c>
      <c r="C77" s="133">
        <v>100137</v>
      </c>
      <c r="D77" s="134" t="s">
        <v>3414</v>
      </c>
      <c r="E77" s="133" t="s">
        <v>3440</v>
      </c>
      <c r="F77" s="134" t="s">
        <v>3410</v>
      </c>
      <c r="G77" s="134" t="s">
        <v>3434</v>
      </c>
      <c r="H77" s="139">
        <v>43791</v>
      </c>
      <c r="I77" s="139">
        <v>43795</v>
      </c>
      <c r="J77" s="139" t="s">
        <v>3438</v>
      </c>
      <c r="K77" s="139" t="s">
        <v>3439</v>
      </c>
      <c r="L77" s="140">
        <v>-34093</v>
      </c>
      <c r="M77" s="140">
        <v>-17863.34</v>
      </c>
      <c r="N77" s="141">
        <v>0.523959170504209</v>
      </c>
      <c r="O77" s="140">
        <v>-14629.67</v>
      </c>
      <c r="P77" s="141">
        <v>0.42911066787903673</v>
      </c>
      <c r="Q77" s="142">
        <v>0.8189773021170733</v>
      </c>
      <c r="R77" s="140">
        <v>-3233.67</v>
      </c>
    </row>
    <row r="78" spans="2:18" ht="15">
      <c r="B78" s="133">
        <v>35</v>
      </c>
      <c r="C78" s="133">
        <v>100139</v>
      </c>
      <c r="D78" s="134" t="s">
        <v>3422</v>
      </c>
      <c r="E78" s="133" t="s">
        <v>3440</v>
      </c>
      <c r="F78" s="134" t="s">
        <v>3410</v>
      </c>
      <c r="G78" s="134" t="s">
        <v>3434</v>
      </c>
      <c r="H78" s="139">
        <v>43802</v>
      </c>
      <c r="I78" s="139">
        <v>43804</v>
      </c>
      <c r="J78" s="139" t="s">
        <v>3435</v>
      </c>
      <c r="K78" s="139" t="s">
        <v>3439</v>
      </c>
      <c r="L78" s="140">
        <v>-12037</v>
      </c>
      <c r="M78" s="140">
        <v>-31950.469999999998</v>
      </c>
      <c r="N78" s="141">
        <v>2.654354905707402</v>
      </c>
      <c r="O78" s="140">
        <v>-18318.72</v>
      </c>
      <c r="P78" s="141">
        <v>1.521867574977154</v>
      </c>
      <c r="Q78" s="142">
        <v>0.5733474343256924</v>
      </c>
      <c r="R78" s="140">
        <v>-13631.749999999996</v>
      </c>
    </row>
    <row r="79" spans="2:18" s="144" customFormat="1" ht="15">
      <c r="B79" s="145">
        <v>36</v>
      </c>
      <c r="C79" s="145">
        <v>100139</v>
      </c>
      <c r="D79" s="146" t="s">
        <v>3422</v>
      </c>
      <c r="E79" s="145" t="s">
        <v>3440</v>
      </c>
      <c r="F79" s="146" t="s">
        <v>3410</v>
      </c>
      <c r="G79" s="146" t="s">
        <v>3434</v>
      </c>
      <c r="H79" s="147">
        <v>43802</v>
      </c>
      <c r="I79" s="147">
        <v>43804</v>
      </c>
      <c r="J79" s="147" t="s">
        <v>3438</v>
      </c>
      <c r="K79" s="147" t="s">
        <v>3439</v>
      </c>
      <c r="L79" s="148">
        <v>-12037</v>
      </c>
      <c r="M79" s="148">
        <v>-31950.469999999998</v>
      </c>
      <c r="N79" s="149">
        <v>2.654354905707402</v>
      </c>
      <c r="O79" s="148">
        <v>-18318.72</v>
      </c>
      <c r="P79" s="149">
        <v>1.521867574977154</v>
      </c>
      <c r="Q79" s="150">
        <v>0.5733474343256924</v>
      </c>
      <c r="R79" s="148">
        <v>-13631.749999999996</v>
      </c>
    </row>
    <row r="80" spans="2:18" ht="15">
      <c r="B80" s="133">
        <v>37</v>
      </c>
      <c r="C80" s="133">
        <v>100139</v>
      </c>
      <c r="D80" s="134" t="s">
        <v>3422</v>
      </c>
      <c r="E80" s="133" t="s">
        <v>3440</v>
      </c>
      <c r="F80" s="134" t="s">
        <v>3410</v>
      </c>
      <c r="G80" s="134" t="s">
        <v>3434</v>
      </c>
      <c r="H80" s="139">
        <v>43817</v>
      </c>
      <c r="I80" s="139">
        <v>43819</v>
      </c>
      <c r="J80" s="139" t="s">
        <v>3435</v>
      </c>
      <c r="K80" s="139" t="s">
        <v>3439</v>
      </c>
      <c r="L80" s="140">
        <v>-169704</v>
      </c>
      <c r="M80" s="140">
        <v>-449715.6</v>
      </c>
      <c r="N80" s="141">
        <v>2.65</v>
      </c>
      <c r="O80" s="140">
        <v>-249811.77</v>
      </c>
      <c r="P80" s="141">
        <v>1.4720440885306179</v>
      </c>
      <c r="Q80" s="142">
        <v>0.5554883352945729</v>
      </c>
      <c r="R80" s="140">
        <v>-199903.83</v>
      </c>
    </row>
  </sheetData>
  <autoFilter ref="B6:R80"/>
  <conditionalFormatting sqref="B7:R80">
    <cfRule type="expression" priority="4" dxfId="11">
      <formula>AND($A7=1,MOD($C7+1,2))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1D8F6-C40D-4A5C-9E1F-DDD0CCF5E074}">
  <dimension ref="A1:AP6"/>
  <sheetViews>
    <sheetView workbookViewId="0" topLeftCell="A1"/>
  </sheetViews>
  <sheetFormatPr defaultColWidth="9.140625" defaultRowHeight="15"/>
  <sheetData>
    <row r="1" spans="1:42" ht="15" thickBot="1">
      <c r="A1" s="15"/>
      <c r="B1" s="160">
        <v>121</v>
      </c>
      <c r="D1">
        <v>4</v>
      </c>
      <c r="F1" s="126">
        <v>6</v>
      </c>
      <c r="I1" s="126">
        <v>10</v>
      </c>
      <c r="J1" s="159"/>
      <c r="K1" s="126"/>
      <c r="L1" s="172">
        <v>13</v>
      </c>
      <c r="M1" s="126">
        <v>15</v>
      </c>
      <c r="N1" s="159"/>
      <c r="O1" s="126"/>
      <c r="P1" s="172">
        <v>18</v>
      </c>
      <c r="Q1" s="126">
        <v>19</v>
      </c>
      <c r="R1" s="159"/>
      <c r="S1" s="126"/>
      <c r="T1" s="172">
        <v>22</v>
      </c>
      <c r="U1" s="126">
        <v>24</v>
      </c>
      <c r="V1" s="159"/>
      <c r="W1" s="126"/>
      <c r="X1" s="172">
        <v>27</v>
      </c>
      <c r="Z1" s="126">
        <v>29</v>
      </c>
      <c r="AA1" s="159"/>
      <c r="AB1" s="126"/>
      <c r="AC1" s="172">
        <v>32</v>
      </c>
      <c r="AD1" s="172"/>
      <c r="AE1" s="126">
        <v>34</v>
      </c>
      <c r="AF1" s="172"/>
      <c r="AG1" s="172"/>
      <c r="AH1" s="126">
        <v>37</v>
      </c>
      <c r="AI1" s="126">
        <v>38</v>
      </c>
      <c r="AJ1" s="159"/>
      <c r="AK1" s="126"/>
      <c r="AL1" s="172">
        <v>41</v>
      </c>
      <c r="AM1" s="126">
        <v>42</v>
      </c>
      <c r="AN1" s="172">
        <v>43</v>
      </c>
      <c r="AO1" s="126"/>
      <c r="AP1" s="172">
        <v>45</v>
      </c>
    </row>
    <row r="2" spans="1:42" ht="113.4" thickBot="1">
      <c r="A2" s="161"/>
      <c r="B2" s="162">
        <v>43830</v>
      </c>
      <c r="C2" s="162"/>
      <c r="D2" s="163"/>
      <c r="E2" s="164" t="s">
        <v>3457</v>
      </c>
      <c r="F2" s="165"/>
      <c r="G2" s="164" t="s">
        <v>3457</v>
      </c>
      <c r="H2" s="163"/>
      <c r="I2" s="173" t="s">
        <v>3409</v>
      </c>
      <c r="J2" s="174"/>
      <c r="K2" s="174"/>
      <c r="L2" s="175"/>
      <c r="M2" s="182" t="s">
        <v>3440</v>
      </c>
      <c r="N2" s="183"/>
      <c r="O2" s="183"/>
      <c r="P2" s="184"/>
      <c r="Q2" s="185" t="s">
        <v>3472</v>
      </c>
      <c r="R2" s="186"/>
      <c r="S2" s="186"/>
      <c r="T2" s="187"/>
      <c r="U2" s="196" t="s">
        <v>3473</v>
      </c>
      <c r="V2" s="197"/>
      <c r="W2" s="197"/>
      <c r="X2" s="198"/>
      <c r="Y2" s="199" t="s">
        <v>3474</v>
      </c>
      <c r="Z2" s="200" t="s">
        <v>3475</v>
      </c>
      <c r="AA2" s="201"/>
      <c r="AB2" s="201"/>
      <c r="AC2" s="202"/>
      <c r="AD2" s="199" t="s">
        <v>3476</v>
      </c>
      <c r="AE2" s="203" t="s">
        <v>3477</v>
      </c>
      <c r="AF2" s="204"/>
      <c r="AG2" s="204"/>
      <c r="AH2" s="205"/>
      <c r="AI2" s="206" t="s">
        <v>3478</v>
      </c>
      <c r="AJ2" s="207"/>
      <c r="AK2" s="207"/>
      <c r="AL2" s="208"/>
      <c r="AM2" s="209" t="s">
        <v>3479</v>
      </c>
      <c r="AN2" s="210"/>
      <c r="AO2" s="210"/>
      <c r="AP2" s="210"/>
    </row>
    <row r="3" spans="1:42" ht="30.6" thickBot="1">
      <c r="A3" s="161"/>
      <c r="B3" s="162"/>
      <c r="C3" s="162"/>
      <c r="D3" s="163"/>
      <c r="E3" s="164" t="s">
        <v>3458</v>
      </c>
      <c r="F3" s="166">
        <v>2</v>
      </c>
      <c r="G3" s="167" t="s">
        <v>3459</v>
      </c>
      <c r="H3" s="167" t="s">
        <v>3460</v>
      </c>
      <c r="I3" s="176"/>
      <c r="J3" s="177"/>
      <c r="K3" s="178"/>
      <c r="L3" s="179">
        <v>165478288</v>
      </c>
      <c r="M3" s="188"/>
      <c r="N3" s="189"/>
      <c r="O3" s="190"/>
      <c r="P3" s="191">
        <v>188712725</v>
      </c>
      <c r="Q3" s="192"/>
      <c r="R3" s="193"/>
      <c r="S3" s="194"/>
      <c r="T3" s="195">
        <v>354191013</v>
      </c>
      <c r="U3" s="211"/>
      <c r="V3" s="212"/>
      <c r="W3" s="213"/>
      <c r="X3" s="214">
        <v>238213352.32999998</v>
      </c>
      <c r="Y3" s="215"/>
      <c r="Z3" s="216"/>
      <c r="AA3" s="217"/>
      <c r="AB3" s="218"/>
      <c r="AC3" s="219">
        <v>48317924.14999999</v>
      </c>
      <c r="AD3" s="215"/>
      <c r="AE3" s="220"/>
      <c r="AF3" s="221"/>
      <c r="AG3" s="221"/>
      <c r="AH3" s="222">
        <v>4201148.2</v>
      </c>
      <c r="AI3" s="223"/>
      <c r="AJ3" s="224"/>
      <c r="AK3" s="225"/>
      <c r="AL3" s="226">
        <v>290732424.67999995</v>
      </c>
      <c r="AM3" s="227"/>
      <c r="AN3" s="228"/>
      <c r="AO3" s="229"/>
      <c r="AP3" s="229">
        <v>644923437.68</v>
      </c>
    </row>
    <row r="4" spans="1:42" ht="72.6" thickBot="1">
      <c r="A4" s="168" t="s">
        <v>3461</v>
      </c>
      <c r="B4" s="169" t="s">
        <v>3462</v>
      </c>
      <c r="C4" s="169"/>
      <c r="D4" s="169" t="s">
        <v>3463</v>
      </c>
      <c r="E4" s="170" t="s">
        <v>3464</v>
      </c>
      <c r="F4" s="171" t="s">
        <v>3465</v>
      </c>
      <c r="G4" s="170" t="s">
        <v>3466</v>
      </c>
      <c r="H4" s="169" t="s">
        <v>3467</v>
      </c>
      <c r="I4" s="180" t="s">
        <v>3468</v>
      </c>
      <c r="J4" s="181" t="s">
        <v>3469</v>
      </c>
      <c r="K4" s="180" t="s">
        <v>3470</v>
      </c>
      <c r="L4" s="181" t="s">
        <v>3471</v>
      </c>
      <c r="M4" s="180" t="s">
        <v>3468</v>
      </c>
      <c r="N4" s="181" t="s">
        <v>3469</v>
      </c>
      <c r="O4" s="180" t="s">
        <v>3470</v>
      </c>
      <c r="P4" s="181" t="s">
        <v>3471</v>
      </c>
      <c r="Q4" s="180" t="s">
        <v>3468</v>
      </c>
      <c r="R4" s="181" t="s">
        <v>3469</v>
      </c>
      <c r="S4" s="180" t="s">
        <v>3470</v>
      </c>
      <c r="T4" s="181" t="s">
        <v>3471</v>
      </c>
      <c r="U4" s="180" t="s">
        <v>3468</v>
      </c>
      <c r="V4" s="181" t="s">
        <v>3469</v>
      </c>
      <c r="W4" s="180" t="s">
        <v>3470</v>
      </c>
      <c r="X4" s="181" t="s">
        <v>3471</v>
      </c>
      <c r="Y4" s="230"/>
      <c r="Z4" s="180" t="s">
        <v>3468</v>
      </c>
      <c r="AA4" s="181" t="s">
        <v>3469</v>
      </c>
      <c r="AB4" s="180" t="s">
        <v>3470</v>
      </c>
      <c r="AC4" s="181" t="s">
        <v>3471</v>
      </c>
      <c r="AD4" s="230"/>
      <c r="AE4" s="180" t="s">
        <v>3468</v>
      </c>
      <c r="AF4" s="181" t="s">
        <v>3469</v>
      </c>
      <c r="AG4" s="180" t="s">
        <v>3470</v>
      </c>
      <c r="AH4" s="181" t="s">
        <v>3471</v>
      </c>
      <c r="AI4" s="180" t="s">
        <v>3468</v>
      </c>
      <c r="AJ4" s="181" t="s">
        <v>3469</v>
      </c>
      <c r="AK4" s="180" t="s">
        <v>3470</v>
      </c>
      <c r="AL4" s="181" t="s">
        <v>3471</v>
      </c>
      <c r="AM4" s="180" t="s">
        <v>3468</v>
      </c>
      <c r="AN4" s="181" t="s">
        <v>3469</v>
      </c>
      <c r="AO4" s="180" t="s">
        <v>3470</v>
      </c>
      <c r="AP4" s="181" t="s">
        <v>3471</v>
      </c>
    </row>
    <row r="5" spans="1:42" ht="15">
      <c r="A5" s="15">
        <v>47</v>
      </c>
      <c r="B5" t="s">
        <v>3480</v>
      </c>
      <c r="C5" t="s">
        <v>3481</v>
      </c>
      <c r="D5" t="s">
        <v>3482</v>
      </c>
      <c r="E5" s="231" t="s">
        <v>3483</v>
      </c>
      <c r="F5" s="232">
        <v>169730089</v>
      </c>
      <c r="G5" s="167">
        <v>0</v>
      </c>
      <c r="H5" s="233">
        <v>0.236</v>
      </c>
      <c r="I5" s="234">
        <v>0</v>
      </c>
      <c r="J5" s="159" t="s">
        <v>3434</v>
      </c>
      <c r="K5" s="126">
        <v>0</v>
      </c>
      <c r="L5" s="235">
        <v>0</v>
      </c>
      <c r="M5" s="234">
        <v>0</v>
      </c>
      <c r="N5" s="159" t="s">
        <v>3434</v>
      </c>
      <c r="O5" s="126">
        <v>0</v>
      </c>
      <c r="P5" s="235">
        <v>0</v>
      </c>
      <c r="Q5" s="234">
        <v>0</v>
      </c>
      <c r="R5" s="159" t="s">
        <v>3434</v>
      </c>
      <c r="S5" s="126">
        <v>0</v>
      </c>
      <c r="T5" s="235">
        <v>0</v>
      </c>
      <c r="U5" s="234">
        <v>0</v>
      </c>
      <c r="V5" s="159" t="s">
        <v>3434</v>
      </c>
      <c r="W5" s="126">
        <v>0</v>
      </c>
      <c r="X5" s="235">
        <v>0</v>
      </c>
      <c r="Y5">
        <v>432</v>
      </c>
      <c r="Z5" s="234">
        <v>892857</v>
      </c>
      <c r="AA5" s="159">
        <v>0.005260452081657719</v>
      </c>
      <c r="AB5" s="126">
        <v>210714.25199999998</v>
      </c>
      <c r="AC5" s="235">
        <v>0.0043609955457906404</v>
      </c>
      <c r="AD5" t="s">
        <v>3434</v>
      </c>
      <c r="AE5" s="234">
        <v>0</v>
      </c>
      <c r="AF5" s="159" t="s">
        <v>3434</v>
      </c>
      <c r="AG5" s="126">
        <v>0</v>
      </c>
      <c r="AH5" s="235">
        <v>0</v>
      </c>
      <c r="AI5" s="234">
        <v>892857</v>
      </c>
      <c r="AJ5" s="159">
        <v>0.005260452081657719</v>
      </c>
      <c r="AK5" s="126">
        <v>210714.25199999998</v>
      </c>
      <c r="AL5" s="235">
        <v>0.0007247703871762034</v>
      </c>
      <c r="AM5" s="234">
        <v>892857</v>
      </c>
      <c r="AN5" s="159">
        <v>0.005260452081657719</v>
      </c>
      <c r="AO5" s="126">
        <v>210714.25199999998</v>
      </c>
      <c r="AP5" s="235">
        <v>0.0003267275457657546</v>
      </c>
    </row>
    <row r="6" spans="1:42" ht="15">
      <c r="A6" s="15">
        <v>86</v>
      </c>
      <c r="B6" t="s">
        <v>1394</v>
      </c>
      <c r="C6" t="s">
        <v>3481</v>
      </c>
      <c r="D6" t="s">
        <v>3484</v>
      </c>
      <c r="E6" s="231" t="s">
        <v>3483</v>
      </c>
      <c r="F6" s="232">
        <v>106837448</v>
      </c>
      <c r="G6" s="167">
        <v>0</v>
      </c>
      <c r="H6" s="233">
        <v>2.955</v>
      </c>
      <c r="I6" s="234">
        <v>0</v>
      </c>
      <c r="J6" s="159" t="s">
        <v>3434</v>
      </c>
      <c r="K6" s="126">
        <v>0</v>
      </c>
      <c r="L6" s="235">
        <v>0</v>
      </c>
      <c r="M6" s="234">
        <v>0</v>
      </c>
      <c r="N6" s="159" t="s">
        <v>3434</v>
      </c>
      <c r="O6" s="126">
        <v>0</v>
      </c>
      <c r="P6" s="235">
        <v>0</v>
      </c>
      <c r="Q6" s="234">
        <v>0</v>
      </c>
      <c r="R6" s="159" t="s">
        <v>3434</v>
      </c>
      <c r="S6" s="126">
        <v>0</v>
      </c>
      <c r="T6" s="235">
        <v>0</v>
      </c>
      <c r="U6" s="234">
        <v>0</v>
      </c>
      <c r="V6" s="159" t="s">
        <v>3434</v>
      </c>
      <c r="W6" s="126">
        <v>0</v>
      </c>
      <c r="X6" s="235">
        <v>0</v>
      </c>
      <c r="Y6">
        <v>440</v>
      </c>
      <c r="Z6" s="234">
        <v>144500</v>
      </c>
      <c r="AA6" s="159">
        <v>0.001352522010821524</v>
      </c>
      <c r="AB6" s="126">
        <v>426997.5</v>
      </c>
      <c r="AC6" s="235">
        <v>0.008837248443753767</v>
      </c>
      <c r="AD6" t="s">
        <v>3434</v>
      </c>
      <c r="AE6" s="234">
        <v>0</v>
      </c>
      <c r="AF6" s="159" t="s">
        <v>3434</v>
      </c>
      <c r="AG6" s="126">
        <v>0</v>
      </c>
      <c r="AH6" s="235">
        <v>0</v>
      </c>
      <c r="AI6" s="234">
        <v>144500</v>
      </c>
      <c r="AJ6" s="159">
        <v>0.001352522010821524</v>
      </c>
      <c r="AK6" s="126">
        <v>426997.5</v>
      </c>
      <c r="AL6" s="235">
        <v>0.0014686958307797377</v>
      </c>
      <c r="AM6" s="234">
        <v>144500</v>
      </c>
      <c r="AN6" s="159">
        <v>0.001352522010821524</v>
      </c>
      <c r="AO6" s="126">
        <v>426997.5</v>
      </c>
      <c r="AP6" s="235">
        <v>0.0006620902188576824</v>
      </c>
    </row>
  </sheetData>
  <conditionalFormatting sqref="G5:G6">
    <cfRule type="cellIs" priority="11" dxfId="10" operator="equal">
      <formula>0</formula>
    </cfRule>
  </conditionalFormatting>
  <conditionalFormatting sqref="A5:H6">
    <cfRule type="expression" priority="10" dxfId="0">
      <formula>$AQ5="n/a"</formula>
    </cfRule>
  </conditionalFormatting>
  <conditionalFormatting sqref="F5:F6">
    <cfRule type="expression" priority="9" dxfId="8">
      <formula>$F5="n/a"</formula>
    </cfRule>
  </conditionalFormatting>
  <conditionalFormatting sqref="I5:L6">
    <cfRule type="expression" priority="8" dxfId="0">
      <formula>$K5="n/a"</formula>
    </cfRule>
  </conditionalFormatting>
  <conditionalFormatting sqref="Q5:T6">
    <cfRule type="expression" priority="7" dxfId="0">
      <formula>$T5="n/a"</formula>
    </cfRule>
  </conditionalFormatting>
  <conditionalFormatting sqref="M5:P6">
    <cfRule type="expression" priority="6" dxfId="0">
      <formula>$P5="n/a"</formula>
    </cfRule>
  </conditionalFormatting>
  <conditionalFormatting sqref="U5:X6">
    <cfRule type="expression" priority="5" dxfId="0">
      <formula>$Y5="n/a"</formula>
    </cfRule>
  </conditionalFormatting>
  <conditionalFormatting sqref="Z5:AC6">
    <cfRule type="expression" priority="4" dxfId="0">
      <formula>$AD5="n/a"</formula>
    </cfRule>
  </conditionalFormatting>
  <conditionalFormatting sqref="AI5:AL6">
    <cfRule type="expression" priority="3" dxfId="0">
      <formula>$AM5="n/a"</formula>
    </cfRule>
  </conditionalFormatting>
  <conditionalFormatting sqref="AM5:AP6">
    <cfRule type="expression" priority="2" dxfId="0">
      <formula>$AQ5="n/a"</formula>
    </cfRule>
  </conditionalFormatting>
  <conditionalFormatting sqref="AE5:AH6">
    <cfRule type="expression" priority="1" dxfId="0">
      <formula>$AD5="n/a"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C6D4-7704-4D4F-8D14-4CAD5626F6D9}">
  <dimension ref="B5:L36"/>
  <sheetViews>
    <sheetView workbookViewId="0" topLeftCell="A1">
      <selection activeCell="B5" sqref="B5"/>
    </sheetView>
  </sheetViews>
  <sheetFormatPr defaultColWidth="9.140625" defaultRowHeight="15"/>
  <cols>
    <col min="2" max="2" width="18.421875" style="0" bestFit="1" customWidth="1"/>
    <col min="3" max="3" width="28.7109375" style="0" bestFit="1" customWidth="1"/>
    <col min="4" max="4" width="28.28125" style="0" bestFit="1" customWidth="1"/>
    <col min="5" max="5" width="37.7109375" style="0" bestFit="1" customWidth="1"/>
    <col min="6" max="6" width="12.28125" style="0" bestFit="1" customWidth="1"/>
    <col min="7" max="7" width="12.00390625" style="0" customWidth="1"/>
    <col min="8" max="8" width="19.28125" style="0" bestFit="1" customWidth="1"/>
    <col min="9" max="9" width="28.7109375" style="0" bestFit="1" customWidth="1"/>
    <col min="10" max="10" width="28.28125" style="0" bestFit="1" customWidth="1"/>
    <col min="11" max="11" width="37.7109375" style="0" bestFit="1" customWidth="1"/>
    <col min="12" max="12" width="10.7109375" style="0" bestFit="1" customWidth="1"/>
    <col min="13" max="14" width="38.421875" style="0" bestFit="1" customWidth="1"/>
    <col min="15" max="15" width="12.57421875" style="0" bestFit="1" customWidth="1"/>
    <col min="16" max="16" width="29.421875" style="0" bestFit="1" customWidth="1"/>
    <col min="17" max="17" width="14.7109375" style="0" bestFit="1" customWidth="1"/>
    <col min="18" max="20" width="38.421875" style="0" bestFit="1" customWidth="1"/>
    <col min="21" max="21" width="13.28125" style="0" bestFit="1" customWidth="1"/>
    <col min="22" max="23" width="38.421875" style="0" bestFit="1" customWidth="1"/>
    <col min="24" max="24" width="13.7109375" style="0" bestFit="1" customWidth="1"/>
    <col min="25" max="27" width="38.421875" style="0" bestFit="1" customWidth="1"/>
    <col min="28" max="28" width="13.7109375" style="0" bestFit="1" customWidth="1"/>
    <col min="29" max="31" width="38.421875" style="0" bestFit="1" customWidth="1"/>
    <col min="32" max="32" width="13.28125" style="0" bestFit="1" customWidth="1"/>
    <col min="33" max="35" width="38.421875" style="0" bestFit="1" customWidth="1"/>
    <col min="36" max="36" width="15.7109375" style="0" bestFit="1" customWidth="1"/>
    <col min="37" max="39" width="38.421875" style="0" bestFit="1" customWidth="1"/>
    <col min="40" max="40" width="11.57421875" style="0" bestFit="1" customWidth="1"/>
    <col min="41" max="43" width="38.421875" style="0" bestFit="1" customWidth="1"/>
    <col min="44" max="44" width="14.7109375" style="0" bestFit="1" customWidth="1"/>
    <col min="45" max="47" width="38.421875" style="0" bestFit="1" customWidth="1"/>
    <col min="48" max="48" width="15.140625" style="0" bestFit="1" customWidth="1"/>
    <col min="49" max="50" width="38.421875" style="0" bestFit="1" customWidth="1"/>
    <col min="51" max="51" width="15.28125" style="0" bestFit="1" customWidth="1"/>
    <col min="52" max="52" width="29.421875" style="0" bestFit="1" customWidth="1"/>
    <col min="53" max="53" width="16.7109375" style="0" bestFit="1" customWidth="1"/>
    <col min="54" max="56" width="38.421875" style="0" bestFit="1" customWidth="1"/>
    <col min="57" max="57" width="18.28125" style="0" bestFit="1" customWidth="1"/>
    <col min="58" max="60" width="38.421875" style="0" bestFit="1" customWidth="1"/>
    <col min="61" max="61" width="9.7109375" style="0" bestFit="1" customWidth="1"/>
    <col min="62" max="64" width="38.421875" style="0" bestFit="1" customWidth="1"/>
    <col min="65" max="65" width="19.7109375" style="0" bestFit="1" customWidth="1"/>
    <col min="66" max="66" width="10.7109375" style="0" bestFit="1" customWidth="1"/>
  </cols>
  <sheetData>
    <row r="5" spans="2:8" ht="15">
      <c r="B5" s="21" t="s">
        <v>3281</v>
      </c>
      <c r="H5" s="21" t="s">
        <v>3402</v>
      </c>
    </row>
    <row r="7" spans="2:9" ht="15">
      <c r="B7" s="14" t="s">
        <v>3280</v>
      </c>
      <c r="C7" s="14" t="s">
        <v>3279</v>
      </c>
      <c r="H7" s="14" t="s">
        <v>3401</v>
      </c>
      <c r="I7" s="14" t="s">
        <v>3279</v>
      </c>
    </row>
    <row r="8" spans="2:12" ht="15">
      <c r="B8" s="14" t="s">
        <v>3277</v>
      </c>
      <c r="C8" t="s">
        <v>20</v>
      </c>
      <c r="D8" t="s">
        <v>0</v>
      </c>
      <c r="E8" t="s">
        <v>153</v>
      </c>
      <c r="F8" t="s">
        <v>3278</v>
      </c>
      <c r="H8" s="14" t="s">
        <v>3277</v>
      </c>
      <c r="I8" t="s">
        <v>20</v>
      </c>
      <c r="J8" t="s">
        <v>0</v>
      </c>
      <c r="K8" t="s">
        <v>153</v>
      </c>
      <c r="L8" t="s">
        <v>3278</v>
      </c>
    </row>
    <row r="9" spans="2:12" ht="15">
      <c r="B9" s="15" t="s">
        <v>5</v>
      </c>
      <c r="C9" s="20"/>
      <c r="D9" s="20">
        <v>114600</v>
      </c>
      <c r="E9" s="20"/>
      <c r="F9" s="20">
        <v>114600</v>
      </c>
      <c r="H9" s="15" t="s">
        <v>5</v>
      </c>
      <c r="I9" s="20"/>
      <c r="J9" s="20">
        <v>1</v>
      </c>
      <c r="K9" s="20"/>
      <c r="L9" s="20">
        <v>1</v>
      </c>
    </row>
    <row r="10" spans="2:12" ht="15">
      <c r="B10" s="15" t="s">
        <v>914</v>
      </c>
      <c r="C10" s="20">
        <v>1805000</v>
      </c>
      <c r="D10" s="20">
        <v>366187</v>
      </c>
      <c r="E10" s="20"/>
      <c r="F10" s="20">
        <v>2171187</v>
      </c>
      <c r="H10" s="15" t="s">
        <v>914</v>
      </c>
      <c r="I10" s="20">
        <v>5</v>
      </c>
      <c r="J10" s="20">
        <v>5</v>
      </c>
      <c r="K10" s="20"/>
      <c r="L10" s="20">
        <v>10</v>
      </c>
    </row>
    <row r="11" spans="2:12" ht="15">
      <c r="B11" s="15" t="s">
        <v>126</v>
      </c>
      <c r="C11" s="20">
        <v>1788543</v>
      </c>
      <c r="D11" s="20">
        <v>83500</v>
      </c>
      <c r="E11" s="20">
        <v>17722</v>
      </c>
      <c r="F11" s="20">
        <v>1889765</v>
      </c>
      <c r="H11" s="15" t="s">
        <v>126</v>
      </c>
      <c r="I11" s="20">
        <v>18</v>
      </c>
      <c r="J11" s="20">
        <v>2</v>
      </c>
      <c r="K11" s="20">
        <v>3</v>
      </c>
      <c r="L11" s="20">
        <v>23</v>
      </c>
    </row>
    <row r="12" spans="2:12" ht="15">
      <c r="B12" s="15" t="s">
        <v>875</v>
      </c>
      <c r="C12" s="20">
        <v>830000</v>
      </c>
      <c r="D12" s="20"/>
      <c r="E12" s="20"/>
      <c r="F12" s="20">
        <v>830000</v>
      </c>
      <c r="H12" s="15" t="s">
        <v>875</v>
      </c>
      <c r="I12" s="20">
        <v>1</v>
      </c>
      <c r="J12" s="20"/>
      <c r="K12" s="20"/>
      <c r="L12" s="20">
        <v>1</v>
      </c>
    </row>
    <row r="13" spans="2:12" ht="15">
      <c r="B13" s="15" t="s">
        <v>23</v>
      </c>
      <c r="C13" s="20">
        <v>21314633</v>
      </c>
      <c r="D13" s="20">
        <v>2945840</v>
      </c>
      <c r="E13" s="20">
        <v>248812</v>
      </c>
      <c r="F13" s="20">
        <v>24509285</v>
      </c>
      <c r="H13" s="15" t="s">
        <v>23</v>
      </c>
      <c r="I13" s="20">
        <v>11</v>
      </c>
      <c r="J13" s="20">
        <v>11</v>
      </c>
      <c r="K13" s="20">
        <v>11</v>
      </c>
      <c r="L13" s="20">
        <v>33</v>
      </c>
    </row>
    <row r="14" spans="2:12" ht="15">
      <c r="B14" s="15" t="s">
        <v>104</v>
      </c>
      <c r="C14" s="20">
        <v>912136</v>
      </c>
      <c r="D14" s="20"/>
      <c r="E14" s="20"/>
      <c r="F14" s="20">
        <v>912136</v>
      </c>
      <c r="H14" s="15" t="s">
        <v>104</v>
      </c>
      <c r="I14" s="20">
        <v>2</v>
      </c>
      <c r="J14" s="20"/>
      <c r="K14" s="20"/>
      <c r="L14" s="20">
        <v>2</v>
      </c>
    </row>
    <row r="15" spans="2:12" ht="15">
      <c r="B15" s="15" t="s">
        <v>183</v>
      </c>
      <c r="C15" s="20">
        <v>8521288</v>
      </c>
      <c r="D15" s="20">
        <v>62050</v>
      </c>
      <c r="E15" s="20">
        <v>75978</v>
      </c>
      <c r="F15" s="20">
        <v>8659316</v>
      </c>
      <c r="H15" s="15" t="s">
        <v>183</v>
      </c>
      <c r="I15" s="20">
        <v>14</v>
      </c>
      <c r="J15" s="20">
        <v>4</v>
      </c>
      <c r="K15" s="20">
        <v>7</v>
      </c>
      <c r="L15" s="20">
        <v>25</v>
      </c>
    </row>
    <row r="16" spans="2:12" ht="15">
      <c r="B16" s="15" t="s">
        <v>786</v>
      </c>
      <c r="C16" s="20"/>
      <c r="D16" s="20">
        <v>21000</v>
      </c>
      <c r="E16" s="20">
        <v>27010</v>
      </c>
      <c r="F16" s="20">
        <v>48010</v>
      </c>
      <c r="H16" s="15" t="s">
        <v>786</v>
      </c>
      <c r="I16" s="20"/>
      <c r="J16" s="20">
        <v>2</v>
      </c>
      <c r="K16" s="20">
        <v>8</v>
      </c>
      <c r="L16" s="20">
        <v>10</v>
      </c>
    </row>
    <row r="17" spans="2:12" ht="15">
      <c r="B17" s="15" t="s">
        <v>2804</v>
      </c>
      <c r="C17" s="20">
        <v>490104</v>
      </c>
      <c r="D17" s="20">
        <v>553098</v>
      </c>
      <c r="E17" s="20">
        <v>9898</v>
      </c>
      <c r="F17" s="20">
        <v>1053100</v>
      </c>
      <c r="H17" s="15" t="s">
        <v>2804</v>
      </c>
      <c r="I17" s="20">
        <v>2</v>
      </c>
      <c r="J17" s="20">
        <v>3</v>
      </c>
      <c r="K17" s="20">
        <v>2</v>
      </c>
      <c r="L17" s="20">
        <v>7</v>
      </c>
    </row>
    <row r="18" spans="2:12" ht="15">
      <c r="B18" s="15" t="s">
        <v>325</v>
      </c>
      <c r="C18" s="20">
        <v>11944330</v>
      </c>
      <c r="D18" s="20">
        <v>798049</v>
      </c>
      <c r="E18" s="20">
        <v>220622</v>
      </c>
      <c r="F18" s="20">
        <v>12963001</v>
      </c>
      <c r="H18" s="15" t="s">
        <v>325</v>
      </c>
      <c r="I18" s="20">
        <v>15</v>
      </c>
      <c r="J18" s="20">
        <v>11</v>
      </c>
      <c r="K18" s="20">
        <v>21</v>
      </c>
      <c r="L18" s="20">
        <v>47</v>
      </c>
    </row>
    <row r="19" spans="2:12" ht="15">
      <c r="B19" s="15" t="s">
        <v>109</v>
      </c>
      <c r="C19" s="20">
        <v>2774559</v>
      </c>
      <c r="D19" s="20">
        <v>1304000</v>
      </c>
      <c r="E19" s="20">
        <v>108421</v>
      </c>
      <c r="F19" s="20">
        <v>4186980</v>
      </c>
      <c r="H19" s="15" t="s">
        <v>109</v>
      </c>
      <c r="I19" s="20">
        <v>12</v>
      </c>
      <c r="J19" s="20">
        <v>3</v>
      </c>
      <c r="K19" s="20">
        <v>21</v>
      </c>
      <c r="L19" s="20">
        <v>36</v>
      </c>
    </row>
    <row r="20" spans="2:12" ht="15">
      <c r="B20" s="15" t="s">
        <v>119</v>
      </c>
      <c r="C20" s="20">
        <v>17071291</v>
      </c>
      <c r="D20" s="20">
        <v>4492821</v>
      </c>
      <c r="E20" s="20">
        <v>530332</v>
      </c>
      <c r="F20" s="20">
        <v>22094444</v>
      </c>
      <c r="H20" s="15" t="s">
        <v>119</v>
      </c>
      <c r="I20" s="20">
        <v>47</v>
      </c>
      <c r="J20" s="20">
        <v>73</v>
      </c>
      <c r="K20" s="20">
        <v>58</v>
      </c>
      <c r="L20" s="20">
        <v>178</v>
      </c>
    </row>
    <row r="21" spans="2:12" ht="15">
      <c r="B21" s="15" t="s">
        <v>90</v>
      </c>
      <c r="C21" s="20">
        <v>9385540</v>
      </c>
      <c r="D21" s="20">
        <v>1820715</v>
      </c>
      <c r="E21" s="20">
        <v>94445</v>
      </c>
      <c r="F21" s="20">
        <v>11300700</v>
      </c>
      <c r="H21" s="15" t="s">
        <v>90</v>
      </c>
      <c r="I21" s="20">
        <v>12</v>
      </c>
      <c r="J21" s="20">
        <v>14</v>
      </c>
      <c r="K21" s="20">
        <v>16</v>
      </c>
      <c r="L21" s="20">
        <v>42</v>
      </c>
    </row>
    <row r="22" spans="2:12" ht="15">
      <c r="B22" s="15" t="s">
        <v>1366</v>
      </c>
      <c r="C22" s="20">
        <v>23851278</v>
      </c>
      <c r="D22" s="20">
        <v>8601122</v>
      </c>
      <c r="E22" s="20">
        <v>1067888</v>
      </c>
      <c r="F22" s="20">
        <v>33520288</v>
      </c>
      <c r="H22" s="15" t="s">
        <v>1366</v>
      </c>
      <c r="I22" s="20">
        <v>12</v>
      </c>
      <c r="J22" s="20">
        <v>6</v>
      </c>
      <c r="K22" s="20">
        <v>6</v>
      </c>
      <c r="L22" s="20">
        <v>24</v>
      </c>
    </row>
    <row r="23" spans="2:12" ht="15">
      <c r="B23" s="15" t="s">
        <v>547</v>
      </c>
      <c r="C23" s="20"/>
      <c r="D23" s="20">
        <v>11399</v>
      </c>
      <c r="E23" s="20">
        <v>321</v>
      </c>
      <c r="F23" s="20">
        <v>11720</v>
      </c>
      <c r="H23" s="15" t="s">
        <v>547</v>
      </c>
      <c r="I23" s="20"/>
      <c r="J23" s="20">
        <v>1</v>
      </c>
      <c r="K23" s="20">
        <v>1</v>
      </c>
      <c r="L23" s="20">
        <v>2</v>
      </c>
    </row>
    <row r="24" spans="2:12" ht="15">
      <c r="B24" s="15" t="s">
        <v>1174</v>
      </c>
      <c r="C24" s="20">
        <v>852261</v>
      </c>
      <c r="D24" s="20"/>
      <c r="E24" s="20"/>
      <c r="F24" s="20">
        <v>852261</v>
      </c>
      <c r="H24" s="15" t="s">
        <v>1174</v>
      </c>
      <c r="I24" s="20">
        <v>3</v>
      </c>
      <c r="J24" s="20"/>
      <c r="K24" s="20"/>
      <c r="L24" s="20">
        <v>3</v>
      </c>
    </row>
    <row r="25" spans="2:12" ht="15">
      <c r="B25" s="15" t="s">
        <v>632</v>
      </c>
      <c r="C25" s="20">
        <v>36278086</v>
      </c>
      <c r="D25" s="20">
        <v>10576376</v>
      </c>
      <c r="E25" s="20">
        <v>269510</v>
      </c>
      <c r="F25" s="20">
        <v>47123972</v>
      </c>
      <c r="H25" s="15" t="s">
        <v>632</v>
      </c>
      <c r="I25" s="20">
        <v>60</v>
      </c>
      <c r="J25" s="20">
        <v>27</v>
      </c>
      <c r="K25" s="20">
        <v>21</v>
      </c>
      <c r="L25" s="20">
        <v>108</v>
      </c>
    </row>
    <row r="26" spans="2:12" ht="15">
      <c r="B26" s="15" t="s">
        <v>1277</v>
      </c>
      <c r="C26" s="20">
        <v>1657833</v>
      </c>
      <c r="D26" s="20">
        <v>284721</v>
      </c>
      <c r="E26" s="20">
        <v>100800</v>
      </c>
      <c r="F26" s="20">
        <v>2043354</v>
      </c>
      <c r="H26" s="15" t="s">
        <v>1277</v>
      </c>
      <c r="I26" s="20">
        <v>9</v>
      </c>
      <c r="J26" s="20">
        <v>6</v>
      </c>
      <c r="K26" s="20">
        <v>9</v>
      </c>
      <c r="L26" s="20">
        <v>24</v>
      </c>
    </row>
    <row r="27" spans="2:12" ht="15">
      <c r="B27" s="15" t="s">
        <v>3278</v>
      </c>
      <c r="C27" s="20">
        <v>139476882</v>
      </c>
      <c r="D27" s="20">
        <v>32035478</v>
      </c>
      <c r="E27" s="20">
        <v>2771759</v>
      </c>
      <c r="F27" s="20">
        <v>174284119</v>
      </c>
      <c r="H27" s="15" t="s">
        <v>3278</v>
      </c>
      <c r="I27" s="20">
        <v>223</v>
      </c>
      <c r="J27" s="20">
        <v>169</v>
      </c>
      <c r="K27" s="20">
        <v>184</v>
      </c>
      <c r="L27" s="20">
        <v>576</v>
      </c>
    </row>
    <row r="31" spans="3:9" ht="15">
      <c r="C31" s="20"/>
      <c r="I31" s="20"/>
    </row>
    <row r="36" spans="3:12" ht="15">
      <c r="C36" s="20"/>
      <c r="D36" s="20"/>
      <c r="E36" s="20"/>
      <c r="F36" s="20"/>
      <c r="I36" s="20"/>
      <c r="J36" s="20"/>
      <c r="K36" s="20"/>
      <c r="L36" s="2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4D84-C8C0-44EB-83B5-2849FFBA27E2}">
  <dimension ref="B5:J17"/>
  <sheetViews>
    <sheetView workbookViewId="0" topLeftCell="A1">
      <selection activeCell="B5" sqref="B5"/>
    </sheetView>
  </sheetViews>
  <sheetFormatPr defaultColWidth="9.140625" defaultRowHeight="15"/>
  <cols>
    <col min="2" max="2" width="18.7109375" style="0" bestFit="1" customWidth="1"/>
    <col min="3" max="3" width="15.28125" style="0" bestFit="1" customWidth="1"/>
    <col min="4" max="5" width="11.28125" style="0" bestFit="1" customWidth="1"/>
    <col min="6" max="6" width="13.7109375" style="0" bestFit="1" customWidth="1"/>
    <col min="7" max="7" width="18.7109375" style="0" bestFit="1" customWidth="1"/>
    <col min="8" max="8" width="15.28125" style="0" bestFit="1" customWidth="1"/>
    <col min="9" max="9" width="4.140625" style="0" bestFit="1" customWidth="1"/>
    <col min="10" max="10" width="10.7109375" style="0" bestFit="1" customWidth="1"/>
  </cols>
  <sheetData>
    <row r="5" spans="2:7" ht="15">
      <c r="B5" s="21" t="s">
        <v>3281</v>
      </c>
      <c r="G5" s="21" t="s">
        <v>3402</v>
      </c>
    </row>
    <row r="7" spans="2:8" ht="15">
      <c r="B7" s="14" t="s">
        <v>3400</v>
      </c>
      <c r="C7" s="14" t="s">
        <v>3279</v>
      </c>
      <c r="G7" s="14" t="s">
        <v>3403</v>
      </c>
      <c r="H7" s="14" t="s">
        <v>3279</v>
      </c>
    </row>
    <row r="8" spans="2:10" ht="15">
      <c r="B8" s="14" t="s">
        <v>3277</v>
      </c>
      <c r="C8" t="s">
        <v>3397</v>
      </c>
      <c r="D8" t="s">
        <v>3398</v>
      </c>
      <c r="E8" t="s">
        <v>3278</v>
      </c>
      <c r="G8" s="14" t="s">
        <v>3277</v>
      </c>
      <c r="H8" t="s">
        <v>3397</v>
      </c>
      <c r="I8" t="s">
        <v>3398</v>
      </c>
      <c r="J8" t="s">
        <v>3278</v>
      </c>
    </row>
    <row r="9" spans="2:10" ht="15">
      <c r="B9" s="15" t="s">
        <v>3326</v>
      </c>
      <c r="C9" s="20">
        <v>35587249</v>
      </c>
      <c r="D9" s="20">
        <v>6988470</v>
      </c>
      <c r="E9" s="20">
        <v>42575719</v>
      </c>
      <c r="G9" s="15" t="s">
        <v>3326</v>
      </c>
      <c r="H9" s="20">
        <v>10</v>
      </c>
      <c r="I9" s="20">
        <v>8</v>
      </c>
      <c r="J9" s="20">
        <v>18</v>
      </c>
    </row>
    <row r="10" spans="2:10" ht="15">
      <c r="B10" s="15" t="s">
        <v>3318</v>
      </c>
      <c r="C10" s="20">
        <v>9980589</v>
      </c>
      <c r="D10" s="20">
        <v>2449279</v>
      </c>
      <c r="E10" s="20">
        <v>12429868</v>
      </c>
      <c r="G10" s="15" t="s">
        <v>3318</v>
      </c>
      <c r="H10" s="20">
        <v>28</v>
      </c>
      <c r="I10" s="20">
        <v>8</v>
      </c>
      <c r="J10" s="20">
        <v>36</v>
      </c>
    </row>
    <row r="11" spans="2:10" ht="15">
      <c r="B11" s="15" t="s">
        <v>3333</v>
      </c>
      <c r="C11" s="20">
        <v>4834737</v>
      </c>
      <c r="D11" s="20"/>
      <c r="E11" s="20">
        <v>4834737</v>
      </c>
      <c r="G11" s="15" t="s">
        <v>3333</v>
      </c>
      <c r="H11" s="20">
        <v>4</v>
      </c>
      <c r="I11" s="20"/>
      <c r="J11" s="20">
        <v>4</v>
      </c>
    </row>
    <row r="12" spans="2:10" ht="15">
      <c r="B12" s="15" t="s">
        <v>3395</v>
      </c>
      <c r="C12" s="20"/>
      <c r="D12" s="20">
        <v>1548147</v>
      </c>
      <c r="E12" s="20">
        <v>1548147</v>
      </c>
      <c r="G12" s="15" t="s">
        <v>3395</v>
      </c>
      <c r="H12" s="20"/>
      <c r="I12" s="20">
        <v>2</v>
      </c>
      <c r="J12" s="20">
        <v>2</v>
      </c>
    </row>
    <row r="13" spans="2:10" ht="15">
      <c r="B13" s="15" t="s">
        <v>90</v>
      </c>
      <c r="C13" s="20">
        <v>727272</v>
      </c>
      <c r="D13" s="20"/>
      <c r="E13" s="20">
        <v>727272</v>
      </c>
      <c r="G13" s="15" t="s">
        <v>90</v>
      </c>
      <c r="H13" s="20">
        <v>1</v>
      </c>
      <c r="I13" s="20"/>
      <c r="J13" s="20">
        <v>1</v>
      </c>
    </row>
    <row r="14" spans="2:10" ht="15">
      <c r="B14" s="15" t="s">
        <v>3312</v>
      </c>
      <c r="C14" s="20">
        <v>931438</v>
      </c>
      <c r="D14" s="20">
        <v>82631</v>
      </c>
      <c r="E14" s="20">
        <v>1014069</v>
      </c>
      <c r="G14" s="15" t="s">
        <v>3312</v>
      </c>
      <c r="H14" s="20">
        <v>4</v>
      </c>
      <c r="I14" s="20">
        <v>1</v>
      </c>
      <c r="J14" s="20">
        <v>5</v>
      </c>
    </row>
    <row r="15" spans="2:10" ht="15">
      <c r="B15" s="15" t="s">
        <v>3350</v>
      </c>
      <c r="C15" s="20">
        <v>2090634</v>
      </c>
      <c r="D15" s="20"/>
      <c r="E15" s="20">
        <v>2090634</v>
      </c>
      <c r="G15" s="15" t="s">
        <v>3350</v>
      </c>
      <c r="H15" s="20">
        <v>3</v>
      </c>
      <c r="I15" s="20"/>
      <c r="J15" s="20">
        <v>3</v>
      </c>
    </row>
    <row r="16" spans="2:10" ht="15">
      <c r="B16" s="15" t="s">
        <v>3302</v>
      </c>
      <c r="C16" s="20">
        <v>11549222</v>
      </c>
      <c r="D16" s="20">
        <v>498368</v>
      </c>
      <c r="E16" s="20">
        <v>12047590</v>
      </c>
      <c r="G16" s="15" t="s">
        <v>3302</v>
      </c>
      <c r="H16" s="20">
        <v>24</v>
      </c>
      <c r="I16" s="20">
        <v>8</v>
      </c>
      <c r="J16" s="20">
        <v>32</v>
      </c>
    </row>
    <row r="17" spans="2:10" ht="15">
      <c r="B17" s="15" t="s">
        <v>3278</v>
      </c>
      <c r="C17" s="20">
        <v>65701141</v>
      </c>
      <c r="D17" s="20">
        <v>11566895</v>
      </c>
      <c r="E17" s="20">
        <v>77268036</v>
      </c>
      <c r="G17" s="15" t="s">
        <v>3278</v>
      </c>
      <c r="H17" s="20">
        <v>74</v>
      </c>
      <c r="I17" s="20">
        <v>27</v>
      </c>
      <c r="J17" s="20">
        <v>101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AC99-CFF9-4AD4-BD6D-3775FF7F16F5}">
  <dimension ref="B5:J16"/>
  <sheetViews>
    <sheetView workbookViewId="0" topLeftCell="A1">
      <selection activeCell="B4" sqref="B4"/>
    </sheetView>
  </sheetViews>
  <sheetFormatPr defaultColWidth="9.140625" defaultRowHeight="15"/>
  <cols>
    <col min="2" max="2" width="13.421875" style="0" bestFit="1" customWidth="1"/>
    <col min="3" max="3" width="15.28125" style="0" bestFit="1" customWidth="1"/>
    <col min="4" max="5" width="11.28125" style="0" bestFit="1" customWidth="1"/>
    <col min="7" max="7" width="14.28125" style="0" bestFit="1" customWidth="1"/>
    <col min="8" max="8" width="15.28125" style="0" bestFit="1" customWidth="1"/>
    <col min="9" max="9" width="4.140625" style="0" bestFit="1" customWidth="1"/>
    <col min="10" max="10" width="10.7109375" style="0" bestFit="1" customWidth="1"/>
  </cols>
  <sheetData>
    <row r="5" spans="2:7" ht="15">
      <c r="B5" s="21" t="s">
        <v>3281</v>
      </c>
      <c r="G5" s="21" t="s">
        <v>3402</v>
      </c>
    </row>
    <row r="7" spans="2:8" ht="15">
      <c r="B7" s="14" t="s">
        <v>3447</v>
      </c>
      <c r="C7" s="14" t="s">
        <v>3279</v>
      </c>
      <c r="G7" s="14" t="s">
        <v>3448</v>
      </c>
      <c r="H7" s="14" t="s">
        <v>3279</v>
      </c>
    </row>
    <row r="8" spans="2:10" ht="15">
      <c r="B8" s="14" t="s">
        <v>3277</v>
      </c>
      <c r="C8" t="s">
        <v>3440</v>
      </c>
      <c r="D8" t="s">
        <v>3409</v>
      </c>
      <c r="E8" t="s">
        <v>3278</v>
      </c>
      <c r="G8" s="14" t="s">
        <v>3277</v>
      </c>
      <c r="H8" t="s">
        <v>3440</v>
      </c>
      <c r="I8" t="s">
        <v>3409</v>
      </c>
      <c r="J8" t="s">
        <v>3278</v>
      </c>
    </row>
    <row r="9" spans="2:10" ht="15">
      <c r="B9" s="15" t="s">
        <v>3377</v>
      </c>
      <c r="C9" s="20">
        <v>176000</v>
      </c>
      <c r="D9" s="20">
        <v>144000</v>
      </c>
      <c r="E9" s="20">
        <v>320000</v>
      </c>
      <c r="G9" s="15" t="s">
        <v>3377</v>
      </c>
      <c r="H9" s="20">
        <v>1</v>
      </c>
      <c r="I9" s="20">
        <v>1</v>
      </c>
      <c r="J9" s="20">
        <v>2</v>
      </c>
    </row>
    <row r="10" spans="2:10" ht="15">
      <c r="B10" s="15" t="s">
        <v>3444</v>
      </c>
      <c r="C10" s="20">
        <v>1307350</v>
      </c>
      <c r="D10" s="20">
        <v>1069650</v>
      </c>
      <c r="E10" s="20">
        <v>2377000</v>
      </c>
      <c r="G10" s="15" t="s">
        <v>3444</v>
      </c>
      <c r="H10" s="20">
        <v>6</v>
      </c>
      <c r="I10" s="20">
        <v>6</v>
      </c>
      <c r="J10" s="20">
        <v>12</v>
      </c>
    </row>
    <row r="11" spans="2:10" ht="15">
      <c r="B11" s="15" t="s">
        <v>23</v>
      </c>
      <c r="C11" s="20">
        <v>4864175</v>
      </c>
      <c r="D11" s="20">
        <v>4123325</v>
      </c>
      <c r="E11" s="20">
        <v>8987500</v>
      </c>
      <c r="G11" s="15" t="s">
        <v>23</v>
      </c>
      <c r="H11" s="20">
        <v>2</v>
      </c>
      <c r="I11" s="20">
        <v>2</v>
      </c>
      <c r="J11" s="20">
        <v>4</v>
      </c>
    </row>
    <row r="12" spans="2:10" ht="15">
      <c r="B12" s="15" t="s">
        <v>3445</v>
      </c>
      <c r="C12" s="20">
        <v>3533333</v>
      </c>
      <c r="D12" s="20">
        <v>3133333</v>
      </c>
      <c r="E12" s="20">
        <v>6666666</v>
      </c>
      <c r="G12" s="15" t="s">
        <v>3445</v>
      </c>
      <c r="H12" s="20">
        <v>1</v>
      </c>
      <c r="I12" s="20">
        <v>1</v>
      </c>
      <c r="J12" s="20">
        <v>2</v>
      </c>
    </row>
    <row r="13" spans="2:10" ht="15">
      <c r="B13" s="15" t="s">
        <v>3441</v>
      </c>
      <c r="C13" s="20">
        <v>2099573</v>
      </c>
      <c r="D13" s="20">
        <v>1391776</v>
      </c>
      <c r="E13" s="20">
        <v>3491349</v>
      </c>
      <c r="G13" s="15" t="s">
        <v>3441</v>
      </c>
      <c r="H13" s="20">
        <v>12</v>
      </c>
      <c r="I13" s="20">
        <v>12</v>
      </c>
      <c r="J13" s="20">
        <v>24</v>
      </c>
    </row>
    <row r="14" spans="2:10" ht="15">
      <c r="B14" s="15" t="s">
        <v>3446</v>
      </c>
      <c r="C14" s="20">
        <v>181741</v>
      </c>
      <c r="D14" s="20">
        <v>195717</v>
      </c>
      <c r="E14" s="20">
        <v>377458</v>
      </c>
      <c r="G14" s="15" t="s">
        <v>3446</v>
      </c>
      <c r="H14" s="20">
        <v>2</v>
      </c>
      <c r="I14" s="20">
        <v>2</v>
      </c>
      <c r="J14" s="20">
        <v>4</v>
      </c>
    </row>
    <row r="15" spans="2:10" ht="15">
      <c r="B15" s="15" t="s">
        <v>3442</v>
      </c>
      <c r="C15" s="20">
        <v>1140750</v>
      </c>
      <c r="D15" s="20">
        <v>624250</v>
      </c>
      <c r="E15" s="20">
        <v>1765000</v>
      </c>
      <c r="G15" s="15" t="s">
        <v>3442</v>
      </c>
      <c r="H15" s="20">
        <v>3</v>
      </c>
      <c r="I15" s="20">
        <v>3</v>
      </c>
      <c r="J15" s="20">
        <v>6</v>
      </c>
    </row>
    <row r="16" spans="2:10" ht="15">
      <c r="B16" s="15" t="s">
        <v>3278</v>
      </c>
      <c r="C16" s="20">
        <v>13302922</v>
      </c>
      <c r="D16" s="20">
        <v>10682051</v>
      </c>
      <c r="E16" s="20">
        <v>23984973</v>
      </c>
      <c r="G16" s="15" t="s">
        <v>3278</v>
      </c>
      <c r="H16" s="20">
        <v>27</v>
      </c>
      <c r="I16" s="20">
        <v>27</v>
      </c>
      <c r="J16" s="20">
        <v>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463C-ED46-4695-815E-3F90D06FD776}">
  <dimension ref="B2:AH578"/>
  <sheetViews>
    <sheetView workbookViewId="0" topLeftCell="A1">
      <selection activeCell="D455" sqref="D455"/>
    </sheetView>
  </sheetViews>
  <sheetFormatPr defaultColWidth="9.140625" defaultRowHeight="15"/>
  <cols>
    <col min="2" max="2" width="41.421875" style="0" bestFit="1" customWidth="1"/>
    <col min="3" max="3" width="10.421875" style="0" bestFit="1" customWidth="1"/>
    <col min="9" max="9" width="10.421875" style="0" bestFit="1" customWidth="1"/>
  </cols>
  <sheetData>
    <row r="2" spans="2:34" ht="15" thickBot="1">
      <c r="B2" s="10" t="s">
        <v>47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10" t="s">
        <v>59</v>
      </c>
      <c r="O2" s="10" t="s">
        <v>60</v>
      </c>
      <c r="P2" s="10" t="s">
        <v>61</v>
      </c>
      <c r="Q2" s="10" t="s">
        <v>62</v>
      </c>
      <c r="R2" s="10" t="s">
        <v>63</v>
      </c>
      <c r="S2" s="10" t="s">
        <v>64</v>
      </c>
      <c r="T2" s="10" t="s">
        <v>65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10" t="s">
        <v>71</v>
      </c>
      <c r="AA2" s="10" t="s">
        <v>72</v>
      </c>
      <c r="AB2" s="10" t="s">
        <v>73</v>
      </c>
      <c r="AC2" s="10" t="s">
        <v>74</v>
      </c>
      <c r="AD2" s="10" t="s">
        <v>75</v>
      </c>
      <c r="AE2" s="10" t="s">
        <v>76</v>
      </c>
      <c r="AF2" s="10" t="s">
        <v>77</v>
      </c>
      <c r="AG2" s="10" t="s">
        <v>78</v>
      </c>
      <c r="AH2" s="10" t="s">
        <v>79</v>
      </c>
    </row>
    <row r="3" spans="2:34" ht="15" thickTop="1">
      <c r="B3" s="1" t="s">
        <v>0</v>
      </c>
      <c r="C3" s="2">
        <v>43482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>
        <v>43481</v>
      </c>
      <c r="J3" s="3">
        <v>0.4666666666666667</v>
      </c>
      <c r="K3" s="2">
        <v>43483</v>
      </c>
      <c r="L3" s="1" t="s">
        <v>6</v>
      </c>
      <c r="M3" s="1"/>
      <c r="N3" s="1" t="s">
        <v>7</v>
      </c>
      <c r="O3" s="1" t="s">
        <v>8</v>
      </c>
      <c r="P3" s="1" t="s">
        <v>9</v>
      </c>
      <c r="Q3" s="1" t="s">
        <v>4</v>
      </c>
      <c r="R3" s="1" t="s">
        <v>4</v>
      </c>
      <c r="S3" s="1" t="s">
        <v>10</v>
      </c>
      <c r="T3" s="1"/>
      <c r="U3" s="1"/>
      <c r="V3" s="1"/>
      <c r="W3" s="1" t="s">
        <v>11</v>
      </c>
      <c r="X3" s="16">
        <v>114600</v>
      </c>
      <c r="Y3" s="16">
        <v>114600</v>
      </c>
      <c r="Z3" s="1" t="s">
        <v>13</v>
      </c>
      <c r="AA3" s="1" t="s">
        <v>14</v>
      </c>
      <c r="AB3" s="1" t="s">
        <v>15</v>
      </c>
      <c r="AC3" s="1" t="s">
        <v>16</v>
      </c>
      <c r="AD3" s="1" t="s">
        <v>17</v>
      </c>
      <c r="AE3" s="1" t="s">
        <v>18</v>
      </c>
      <c r="AF3" s="1" t="s">
        <v>19</v>
      </c>
      <c r="AG3" s="1" t="s">
        <v>19</v>
      </c>
      <c r="AH3" s="1" t="s">
        <v>15</v>
      </c>
    </row>
    <row r="4" spans="2:34" ht="15">
      <c r="B4" s="4" t="s">
        <v>20</v>
      </c>
      <c r="C4" s="5">
        <v>43483</v>
      </c>
      <c r="D4" s="4" t="s">
        <v>21</v>
      </c>
      <c r="E4" s="4" t="s">
        <v>22</v>
      </c>
      <c r="F4" s="4" t="s">
        <v>3</v>
      </c>
      <c r="G4" s="4" t="s">
        <v>4</v>
      </c>
      <c r="H4" s="4" t="s">
        <v>23</v>
      </c>
      <c r="I4" s="5">
        <v>43482</v>
      </c>
      <c r="J4" s="6">
        <v>0.6992708333333333</v>
      </c>
      <c r="K4" s="5">
        <v>43486</v>
      </c>
      <c r="L4" s="4" t="s">
        <v>6</v>
      </c>
      <c r="M4" s="4"/>
      <c r="N4" s="4" t="s">
        <v>24</v>
      </c>
      <c r="O4" s="4" t="s">
        <v>25</v>
      </c>
      <c r="P4" s="4" t="s">
        <v>26</v>
      </c>
      <c r="Q4" s="4" t="s">
        <v>4</v>
      </c>
      <c r="R4" s="4" t="s">
        <v>4</v>
      </c>
      <c r="S4" s="4" t="s">
        <v>10</v>
      </c>
      <c r="T4" s="4"/>
      <c r="U4" s="4"/>
      <c r="V4" s="4"/>
      <c r="W4" s="4" t="s">
        <v>27</v>
      </c>
      <c r="X4" s="17">
        <v>2887160</v>
      </c>
      <c r="Y4" s="17">
        <v>2887160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17</v>
      </c>
      <c r="AE4" s="4" t="s">
        <v>18</v>
      </c>
      <c r="AF4" s="4" t="s">
        <v>19</v>
      </c>
      <c r="AG4" s="4" t="s">
        <v>19</v>
      </c>
      <c r="AH4" s="17">
        <v>1128245.385</v>
      </c>
    </row>
    <row r="5" spans="2:34" ht="15">
      <c r="B5" s="1" t="s">
        <v>0</v>
      </c>
      <c r="C5" s="2">
        <v>43483</v>
      </c>
      <c r="D5" s="1" t="s">
        <v>1</v>
      </c>
      <c r="E5" s="1" t="s">
        <v>33</v>
      </c>
      <c r="F5" s="1" t="s">
        <v>3</v>
      </c>
      <c r="G5" s="1" t="s">
        <v>4</v>
      </c>
      <c r="H5" s="1" t="s">
        <v>23</v>
      </c>
      <c r="I5" s="2">
        <v>43482</v>
      </c>
      <c r="J5" s="3">
        <v>0.6992708333333333</v>
      </c>
      <c r="K5" s="2">
        <v>43486</v>
      </c>
      <c r="L5" s="1" t="s">
        <v>6</v>
      </c>
      <c r="M5" s="1"/>
      <c r="N5" s="1" t="s">
        <v>24</v>
      </c>
      <c r="O5" s="1" t="s">
        <v>25</v>
      </c>
      <c r="P5" s="1" t="s">
        <v>26</v>
      </c>
      <c r="Q5" s="1" t="s">
        <v>4</v>
      </c>
      <c r="R5" s="1" t="s">
        <v>4</v>
      </c>
      <c r="S5" s="1" t="s">
        <v>10</v>
      </c>
      <c r="T5" s="1"/>
      <c r="U5" s="1"/>
      <c r="V5" s="1"/>
      <c r="W5" s="1" t="s">
        <v>27</v>
      </c>
      <c r="X5" s="16">
        <v>582840</v>
      </c>
      <c r="Y5" s="16">
        <v>582840</v>
      </c>
      <c r="Z5" s="1" t="s">
        <v>29</v>
      </c>
      <c r="AA5" s="1" t="s">
        <v>35</v>
      </c>
      <c r="AB5" s="1" t="s">
        <v>36</v>
      </c>
      <c r="AC5" s="1" t="s">
        <v>37</v>
      </c>
      <c r="AD5" s="1" t="s">
        <v>17</v>
      </c>
      <c r="AE5" s="1" t="s">
        <v>18</v>
      </c>
      <c r="AF5" s="1" t="s">
        <v>19</v>
      </c>
      <c r="AG5" s="1" t="s">
        <v>19</v>
      </c>
      <c r="AH5" s="16">
        <v>227763.2152</v>
      </c>
    </row>
    <row r="6" spans="2:34" ht="15">
      <c r="B6" s="7" t="s">
        <v>0</v>
      </c>
      <c r="C6" s="8">
        <v>43490</v>
      </c>
      <c r="D6" s="7" t="s">
        <v>1</v>
      </c>
      <c r="E6" s="7" t="s">
        <v>38</v>
      </c>
      <c r="F6" s="7" t="s">
        <v>3</v>
      </c>
      <c r="G6" s="7" t="s">
        <v>4</v>
      </c>
      <c r="H6" s="7" t="s">
        <v>23</v>
      </c>
      <c r="I6" s="8">
        <v>43489</v>
      </c>
      <c r="J6" s="9">
        <v>0.6684375</v>
      </c>
      <c r="K6" s="8">
        <v>43493</v>
      </c>
      <c r="L6" s="7" t="s">
        <v>6</v>
      </c>
      <c r="M6" s="7"/>
      <c r="N6" s="7" t="s">
        <v>39</v>
      </c>
      <c r="O6" s="7" t="s">
        <v>40</v>
      </c>
      <c r="P6" s="7" t="s">
        <v>41</v>
      </c>
      <c r="Q6" s="7" t="s">
        <v>4</v>
      </c>
      <c r="R6" s="7" t="s">
        <v>4</v>
      </c>
      <c r="S6" s="7" t="s">
        <v>10</v>
      </c>
      <c r="T6" s="7"/>
      <c r="U6" s="7"/>
      <c r="V6" s="7"/>
      <c r="W6" s="7" t="s">
        <v>27</v>
      </c>
      <c r="X6" s="18">
        <v>50000</v>
      </c>
      <c r="Y6" s="18">
        <v>50000</v>
      </c>
      <c r="Z6" s="7" t="s">
        <v>43</v>
      </c>
      <c r="AA6" s="7" t="s">
        <v>44</v>
      </c>
      <c r="AB6" s="7" t="s">
        <v>45</v>
      </c>
      <c r="AC6" s="7" t="s">
        <v>46</v>
      </c>
      <c r="AD6" s="7" t="s">
        <v>17</v>
      </c>
      <c r="AE6" s="7" t="s">
        <v>18</v>
      </c>
      <c r="AF6" s="7" t="s">
        <v>19</v>
      </c>
      <c r="AG6" s="7" t="s">
        <v>19</v>
      </c>
      <c r="AH6" s="18">
        <v>51854.5</v>
      </c>
    </row>
    <row r="7" spans="2:34" ht="15">
      <c r="B7" s="1" t="s">
        <v>20</v>
      </c>
      <c r="C7" s="2">
        <v>43502</v>
      </c>
      <c r="D7" s="1" t="s">
        <v>21</v>
      </c>
      <c r="E7" s="1" t="s">
        <v>108</v>
      </c>
      <c r="F7" s="1" t="s">
        <v>3</v>
      </c>
      <c r="G7" s="1" t="s">
        <v>4</v>
      </c>
      <c r="H7" s="1" t="s">
        <v>109</v>
      </c>
      <c r="I7" s="2">
        <v>43501</v>
      </c>
      <c r="J7" s="3">
        <v>0.5069444444444444</v>
      </c>
      <c r="K7" s="2">
        <v>43503</v>
      </c>
      <c r="L7" s="1" t="s">
        <v>6</v>
      </c>
      <c r="M7" s="1"/>
      <c r="N7" s="1" t="s">
        <v>110</v>
      </c>
      <c r="O7" s="1" t="s">
        <v>111</v>
      </c>
      <c r="P7" s="1" t="s">
        <v>112</v>
      </c>
      <c r="Q7" s="1" t="s">
        <v>4</v>
      </c>
      <c r="R7" s="1" t="s">
        <v>4</v>
      </c>
      <c r="S7" s="1" t="s">
        <v>10</v>
      </c>
      <c r="T7" s="1"/>
      <c r="U7" s="1"/>
      <c r="V7" s="1"/>
      <c r="W7" s="1" t="s">
        <v>11</v>
      </c>
      <c r="X7" s="16">
        <v>25000</v>
      </c>
      <c r="Y7" s="16">
        <v>25000</v>
      </c>
      <c r="Z7" s="1" t="s">
        <v>114</v>
      </c>
      <c r="AA7" s="1" t="s">
        <v>115</v>
      </c>
      <c r="AB7" s="1" t="s">
        <v>116</v>
      </c>
      <c r="AC7" s="1" t="s">
        <v>117</v>
      </c>
      <c r="AD7" s="1" t="s">
        <v>17</v>
      </c>
      <c r="AE7" s="1" t="s">
        <v>18</v>
      </c>
      <c r="AF7" s="1" t="s">
        <v>19</v>
      </c>
      <c r="AG7" s="1" t="s">
        <v>19</v>
      </c>
      <c r="AH7" s="16">
        <v>71106.5</v>
      </c>
    </row>
    <row r="8" spans="2:34" ht="15">
      <c r="B8" s="4" t="s">
        <v>20</v>
      </c>
      <c r="C8" s="5">
        <v>43502</v>
      </c>
      <c r="D8" s="4" t="s">
        <v>21</v>
      </c>
      <c r="E8" s="4" t="s">
        <v>118</v>
      </c>
      <c r="F8" s="4" t="s">
        <v>3</v>
      </c>
      <c r="G8" s="4" t="s">
        <v>4</v>
      </c>
      <c r="H8" s="4" t="s">
        <v>119</v>
      </c>
      <c r="I8" s="5">
        <v>43501</v>
      </c>
      <c r="J8" s="6">
        <v>0.5589467592592593</v>
      </c>
      <c r="K8" s="5">
        <v>43503</v>
      </c>
      <c r="L8" s="4" t="s">
        <v>6</v>
      </c>
      <c r="M8" s="4"/>
      <c r="N8" s="4" t="s">
        <v>110</v>
      </c>
      <c r="O8" s="4" t="s">
        <v>111</v>
      </c>
      <c r="P8" s="4" t="s">
        <v>112</v>
      </c>
      <c r="Q8" s="4" t="s">
        <v>4</v>
      </c>
      <c r="R8" s="4" t="s">
        <v>4</v>
      </c>
      <c r="S8" s="4" t="s">
        <v>10</v>
      </c>
      <c r="T8" s="4"/>
      <c r="U8" s="4"/>
      <c r="V8" s="4"/>
      <c r="W8" s="4" t="s">
        <v>11</v>
      </c>
      <c r="X8" s="17">
        <v>660000</v>
      </c>
      <c r="Y8" s="17">
        <v>660000</v>
      </c>
      <c r="Z8" s="4" t="s">
        <v>121</v>
      </c>
      <c r="AA8" s="4" t="s">
        <v>122</v>
      </c>
      <c r="AB8" s="4" t="s">
        <v>123</v>
      </c>
      <c r="AC8" s="4" t="s">
        <v>124</v>
      </c>
      <c r="AD8" s="4" t="s">
        <v>17</v>
      </c>
      <c r="AE8" s="4" t="s">
        <v>18</v>
      </c>
      <c r="AF8" s="4" t="s">
        <v>19</v>
      </c>
      <c r="AG8" s="4" t="s">
        <v>19</v>
      </c>
      <c r="AH8" s="17">
        <v>1844303</v>
      </c>
    </row>
    <row r="9" spans="2:34" ht="15">
      <c r="B9" s="1" t="s">
        <v>0</v>
      </c>
      <c r="C9" s="2">
        <v>43509</v>
      </c>
      <c r="D9" s="1" t="s">
        <v>1</v>
      </c>
      <c r="E9" s="1" t="s">
        <v>125</v>
      </c>
      <c r="F9" s="1" t="s">
        <v>3</v>
      </c>
      <c r="G9" s="1" t="s">
        <v>4</v>
      </c>
      <c r="H9" s="1" t="s">
        <v>126</v>
      </c>
      <c r="I9" s="2">
        <v>43508</v>
      </c>
      <c r="J9" s="3">
        <v>0.6688310185185186</v>
      </c>
      <c r="K9" s="2">
        <v>43510</v>
      </c>
      <c r="L9" s="1" t="s">
        <v>6</v>
      </c>
      <c r="M9" s="1"/>
      <c r="N9" s="1" t="s">
        <v>127</v>
      </c>
      <c r="O9" s="1" t="s">
        <v>128</v>
      </c>
      <c r="P9" s="1" t="s">
        <v>129</v>
      </c>
      <c r="Q9" s="1" t="s">
        <v>4</v>
      </c>
      <c r="R9" s="1" t="s">
        <v>4</v>
      </c>
      <c r="S9" s="1" t="s">
        <v>10</v>
      </c>
      <c r="T9" s="1"/>
      <c r="U9" s="1"/>
      <c r="V9" s="1"/>
      <c r="W9" s="1" t="s">
        <v>27</v>
      </c>
      <c r="X9" s="16">
        <v>18500</v>
      </c>
      <c r="Y9" s="16">
        <v>18500</v>
      </c>
      <c r="Z9" s="1" t="s">
        <v>131</v>
      </c>
      <c r="AA9" s="1" t="s">
        <v>132</v>
      </c>
      <c r="AB9" s="1" t="s">
        <v>133</v>
      </c>
      <c r="AC9" s="1" t="s">
        <v>134</v>
      </c>
      <c r="AD9" s="1" t="s">
        <v>17</v>
      </c>
      <c r="AE9" s="1" t="s">
        <v>18</v>
      </c>
      <c r="AF9" s="1" t="s">
        <v>19</v>
      </c>
      <c r="AG9" s="1" t="s">
        <v>19</v>
      </c>
      <c r="AH9" s="16">
        <v>134394.25</v>
      </c>
    </row>
    <row r="10" spans="2:34" ht="15">
      <c r="B10" s="4" t="s">
        <v>0</v>
      </c>
      <c r="C10" s="5">
        <v>43509</v>
      </c>
      <c r="D10" s="4" t="s">
        <v>1</v>
      </c>
      <c r="E10" s="4" t="s">
        <v>135</v>
      </c>
      <c r="F10" s="4" t="s">
        <v>3</v>
      </c>
      <c r="G10" s="4" t="s">
        <v>4</v>
      </c>
      <c r="H10" s="4" t="s">
        <v>119</v>
      </c>
      <c r="I10" s="5">
        <v>43508</v>
      </c>
      <c r="J10" s="6">
        <v>0.6933333333333334</v>
      </c>
      <c r="K10" s="5">
        <v>43510</v>
      </c>
      <c r="L10" s="4" t="s">
        <v>6</v>
      </c>
      <c r="M10" s="4"/>
      <c r="N10" s="4" t="s">
        <v>136</v>
      </c>
      <c r="O10" s="4" t="s">
        <v>137</v>
      </c>
      <c r="P10" s="4" t="s">
        <v>138</v>
      </c>
      <c r="Q10" s="4" t="s">
        <v>4</v>
      </c>
      <c r="R10" s="4" t="s">
        <v>4</v>
      </c>
      <c r="S10" s="4" t="s">
        <v>10</v>
      </c>
      <c r="T10" s="4"/>
      <c r="U10" s="4"/>
      <c r="V10" s="4"/>
      <c r="W10" s="4" t="s">
        <v>27</v>
      </c>
      <c r="X10" s="17">
        <v>159000</v>
      </c>
      <c r="Y10" s="17">
        <v>159000</v>
      </c>
      <c r="Z10" s="4" t="s">
        <v>140</v>
      </c>
      <c r="AA10" s="4" t="s">
        <v>141</v>
      </c>
      <c r="AB10" s="4" t="s">
        <v>142</v>
      </c>
      <c r="AC10" s="4" t="s">
        <v>143</v>
      </c>
      <c r="AD10" s="4" t="s">
        <v>17</v>
      </c>
      <c r="AE10" s="4" t="s">
        <v>17</v>
      </c>
      <c r="AF10" s="4" t="s">
        <v>19</v>
      </c>
      <c r="AG10" s="4" t="s">
        <v>19</v>
      </c>
      <c r="AH10" s="17">
        <v>515463.0011</v>
      </c>
    </row>
    <row r="11" spans="2:34" ht="15">
      <c r="B11" s="1" t="s">
        <v>20</v>
      </c>
      <c r="C11" s="2">
        <v>43511</v>
      </c>
      <c r="D11" s="1" t="s">
        <v>21</v>
      </c>
      <c r="E11" s="1" t="s">
        <v>144</v>
      </c>
      <c r="F11" s="1" t="s">
        <v>3</v>
      </c>
      <c r="G11" s="1" t="s">
        <v>4</v>
      </c>
      <c r="H11" s="1" t="s">
        <v>109</v>
      </c>
      <c r="I11" s="2">
        <v>43510</v>
      </c>
      <c r="J11" s="3">
        <v>0.6916666666666667</v>
      </c>
      <c r="K11" s="2">
        <v>43514</v>
      </c>
      <c r="L11" s="1" t="s">
        <v>6</v>
      </c>
      <c r="M11" s="1"/>
      <c r="N11" s="1" t="s">
        <v>145</v>
      </c>
      <c r="O11" s="1" t="s">
        <v>146</v>
      </c>
      <c r="P11" s="1" t="s">
        <v>147</v>
      </c>
      <c r="Q11" s="1" t="s">
        <v>4</v>
      </c>
      <c r="R11" s="1" t="s">
        <v>4</v>
      </c>
      <c r="S11" s="1" t="s">
        <v>10</v>
      </c>
      <c r="T11" s="1"/>
      <c r="U11" s="1"/>
      <c r="V11" s="1"/>
      <c r="W11" s="1" t="s">
        <v>27</v>
      </c>
      <c r="X11" s="16">
        <v>440000</v>
      </c>
      <c r="Y11" s="16">
        <v>440000</v>
      </c>
      <c r="Z11" s="1" t="s">
        <v>149</v>
      </c>
      <c r="AA11" s="1" t="s">
        <v>150</v>
      </c>
      <c r="AB11" s="1" t="s">
        <v>151</v>
      </c>
      <c r="AC11" s="1" t="s">
        <v>152</v>
      </c>
      <c r="AD11" s="1" t="s">
        <v>17</v>
      </c>
      <c r="AE11" s="1" t="s">
        <v>18</v>
      </c>
      <c r="AF11" s="1" t="s">
        <v>19</v>
      </c>
      <c r="AG11" s="1" t="s">
        <v>19</v>
      </c>
      <c r="AH11" s="16">
        <v>1344685</v>
      </c>
    </row>
    <row r="12" spans="2:34" ht="15">
      <c r="B12" s="4" t="s">
        <v>153</v>
      </c>
      <c r="C12" s="5">
        <v>43514</v>
      </c>
      <c r="D12" s="4" t="s">
        <v>154</v>
      </c>
      <c r="E12" s="4" t="s">
        <v>155</v>
      </c>
      <c r="F12" s="4" t="s">
        <v>3</v>
      </c>
      <c r="G12" s="4" t="s">
        <v>4</v>
      </c>
      <c r="H12" s="4" t="s">
        <v>119</v>
      </c>
      <c r="I12" s="5">
        <v>43511</v>
      </c>
      <c r="J12" s="6">
        <v>0.6618518518518518</v>
      </c>
      <c r="K12" s="5">
        <v>43515</v>
      </c>
      <c r="L12" s="4" t="s">
        <v>6</v>
      </c>
      <c r="M12" s="4"/>
      <c r="N12" s="4" t="s">
        <v>156</v>
      </c>
      <c r="O12" s="4" t="s">
        <v>157</v>
      </c>
      <c r="P12" s="4" t="s">
        <v>158</v>
      </c>
      <c r="Q12" s="4" t="s">
        <v>4</v>
      </c>
      <c r="R12" s="4" t="s">
        <v>4</v>
      </c>
      <c r="S12" s="4" t="s">
        <v>10</v>
      </c>
      <c r="T12" s="4"/>
      <c r="U12" s="4"/>
      <c r="V12" s="4"/>
      <c r="W12" s="4" t="s">
        <v>27</v>
      </c>
      <c r="X12" s="17">
        <v>10500</v>
      </c>
      <c r="Y12" s="17">
        <v>10500</v>
      </c>
      <c r="Z12" s="4" t="s">
        <v>160</v>
      </c>
      <c r="AA12" s="4" t="s">
        <v>161</v>
      </c>
      <c r="AB12" s="4" t="s">
        <v>162</v>
      </c>
      <c r="AC12" s="4" t="s">
        <v>163</v>
      </c>
      <c r="AD12" s="4" t="s">
        <v>17</v>
      </c>
      <c r="AE12" s="4" t="s">
        <v>18</v>
      </c>
      <c r="AF12" s="4" t="s">
        <v>19</v>
      </c>
      <c r="AG12" s="4" t="s">
        <v>19</v>
      </c>
      <c r="AH12" s="17">
        <v>25461.82</v>
      </c>
    </row>
    <row r="13" spans="2:34" ht="15">
      <c r="B13" s="1" t="s">
        <v>153</v>
      </c>
      <c r="C13" s="2">
        <v>43514</v>
      </c>
      <c r="D13" s="1" t="s">
        <v>154</v>
      </c>
      <c r="E13" s="1" t="s">
        <v>164</v>
      </c>
      <c r="F13" s="1" t="s">
        <v>3</v>
      </c>
      <c r="G13" s="1" t="s">
        <v>4</v>
      </c>
      <c r="H13" s="1" t="s">
        <v>23</v>
      </c>
      <c r="I13" s="2">
        <v>43511</v>
      </c>
      <c r="J13" s="3">
        <v>0.6731828703703704</v>
      </c>
      <c r="K13" s="2">
        <v>43515</v>
      </c>
      <c r="L13" s="1" t="s">
        <v>6</v>
      </c>
      <c r="M13" s="1"/>
      <c r="N13" s="1" t="s">
        <v>165</v>
      </c>
      <c r="O13" s="1" t="s">
        <v>166</v>
      </c>
      <c r="P13" s="1" t="s">
        <v>167</v>
      </c>
      <c r="Q13" s="1" t="s">
        <v>4</v>
      </c>
      <c r="R13" s="1" t="s">
        <v>4</v>
      </c>
      <c r="S13" s="1" t="s">
        <v>10</v>
      </c>
      <c r="T13" s="1"/>
      <c r="U13" s="1"/>
      <c r="V13" s="1"/>
      <c r="W13" s="1" t="s">
        <v>27</v>
      </c>
      <c r="X13" s="16">
        <v>10800</v>
      </c>
      <c r="Y13" s="16">
        <v>10800</v>
      </c>
      <c r="Z13" s="1" t="s">
        <v>169</v>
      </c>
      <c r="AA13" s="1" t="s">
        <v>170</v>
      </c>
      <c r="AB13" s="1" t="s">
        <v>171</v>
      </c>
      <c r="AC13" s="1" t="s">
        <v>172</v>
      </c>
      <c r="AD13" s="1" t="s">
        <v>17</v>
      </c>
      <c r="AE13" s="1" t="s">
        <v>18</v>
      </c>
      <c r="AF13" s="1" t="s">
        <v>19</v>
      </c>
      <c r="AG13" s="1" t="s">
        <v>19</v>
      </c>
      <c r="AH13" s="16">
        <v>24998.896</v>
      </c>
    </row>
    <row r="14" spans="2:34" ht="15">
      <c r="B14" s="4" t="s">
        <v>153</v>
      </c>
      <c r="C14" s="5">
        <v>43514</v>
      </c>
      <c r="D14" s="4" t="s">
        <v>154</v>
      </c>
      <c r="E14" s="4" t="s">
        <v>173</v>
      </c>
      <c r="F14" s="4" t="s">
        <v>3</v>
      </c>
      <c r="G14" s="4" t="s">
        <v>4</v>
      </c>
      <c r="H14" s="4" t="s">
        <v>23</v>
      </c>
      <c r="I14" s="5">
        <v>43511</v>
      </c>
      <c r="J14" s="6">
        <v>0.5613310185185185</v>
      </c>
      <c r="K14" s="5">
        <v>43515</v>
      </c>
      <c r="L14" s="4" t="s">
        <v>6</v>
      </c>
      <c r="M14" s="4"/>
      <c r="N14" s="4" t="s">
        <v>174</v>
      </c>
      <c r="O14" s="4" t="s">
        <v>175</v>
      </c>
      <c r="P14" s="4" t="s">
        <v>176</v>
      </c>
      <c r="Q14" s="4" t="s">
        <v>4</v>
      </c>
      <c r="R14" s="4" t="s">
        <v>4</v>
      </c>
      <c r="S14" s="4" t="s">
        <v>10</v>
      </c>
      <c r="T14" s="4"/>
      <c r="U14" s="4"/>
      <c r="V14" s="4"/>
      <c r="W14" s="4" t="s">
        <v>27</v>
      </c>
      <c r="X14" s="17">
        <v>30100</v>
      </c>
      <c r="Y14" s="17">
        <v>30100</v>
      </c>
      <c r="Z14" s="4" t="s">
        <v>178</v>
      </c>
      <c r="AA14" s="4" t="s">
        <v>179</v>
      </c>
      <c r="AB14" s="4" t="s">
        <v>180</v>
      </c>
      <c r="AC14" s="4" t="s">
        <v>181</v>
      </c>
      <c r="AD14" s="4" t="s">
        <v>17</v>
      </c>
      <c r="AE14" s="4" t="s">
        <v>18</v>
      </c>
      <c r="AF14" s="4" t="s">
        <v>19</v>
      </c>
      <c r="AG14" s="4" t="s">
        <v>19</v>
      </c>
      <c r="AH14" s="17">
        <v>25033.966</v>
      </c>
    </row>
    <row r="15" spans="2:34" ht="15">
      <c r="B15" s="1" t="s">
        <v>153</v>
      </c>
      <c r="C15" s="2">
        <v>43514</v>
      </c>
      <c r="D15" s="1" t="s">
        <v>154</v>
      </c>
      <c r="E15" s="1" t="s">
        <v>182</v>
      </c>
      <c r="F15" s="1" t="s">
        <v>3</v>
      </c>
      <c r="G15" s="1" t="s">
        <v>4</v>
      </c>
      <c r="H15" s="1" t="s">
        <v>183</v>
      </c>
      <c r="I15" s="2">
        <v>43511</v>
      </c>
      <c r="J15" s="3">
        <v>0.6847337962962963</v>
      </c>
      <c r="K15" s="2">
        <v>43515</v>
      </c>
      <c r="L15" s="1" t="s">
        <v>6</v>
      </c>
      <c r="M15" s="1"/>
      <c r="N15" s="1" t="s">
        <v>184</v>
      </c>
      <c r="O15" s="1" t="s">
        <v>185</v>
      </c>
      <c r="P15" s="1" t="s">
        <v>186</v>
      </c>
      <c r="Q15" s="1" t="s">
        <v>4</v>
      </c>
      <c r="R15" s="1" t="s">
        <v>4</v>
      </c>
      <c r="S15" s="1" t="s">
        <v>10</v>
      </c>
      <c r="T15" s="1"/>
      <c r="U15" s="1"/>
      <c r="V15" s="1"/>
      <c r="W15" s="1" t="s">
        <v>27</v>
      </c>
      <c r="X15" s="16">
        <v>6000</v>
      </c>
      <c r="Y15" s="16">
        <v>6000</v>
      </c>
      <c r="Z15" s="1" t="s">
        <v>188</v>
      </c>
      <c r="AA15" s="1" t="s">
        <v>189</v>
      </c>
      <c r="AB15" s="1" t="s">
        <v>190</v>
      </c>
      <c r="AC15" s="1" t="s">
        <v>191</v>
      </c>
      <c r="AD15" s="1" t="s">
        <v>17</v>
      </c>
      <c r="AE15" s="1" t="s">
        <v>192</v>
      </c>
      <c r="AF15" s="1" t="s">
        <v>19</v>
      </c>
      <c r="AG15" s="1" t="s">
        <v>19</v>
      </c>
      <c r="AH15" s="16">
        <v>24540.87455</v>
      </c>
    </row>
    <row r="16" spans="2:34" ht="15">
      <c r="B16" s="4" t="s">
        <v>153</v>
      </c>
      <c r="C16" s="5">
        <v>43514</v>
      </c>
      <c r="D16" s="4" t="s">
        <v>154</v>
      </c>
      <c r="E16" s="4" t="s">
        <v>193</v>
      </c>
      <c r="F16" s="4" t="s">
        <v>3</v>
      </c>
      <c r="G16" s="4" t="s">
        <v>4</v>
      </c>
      <c r="H16" s="4" t="s">
        <v>119</v>
      </c>
      <c r="I16" s="5">
        <v>43511</v>
      </c>
      <c r="J16" s="6">
        <v>0.5672222222222222</v>
      </c>
      <c r="K16" s="5">
        <v>43515</v>
      </c>
      <c r="L16" s="4" t="s">
        <v>6</v>
      </c>
      <c r="M16" s="4"/>
      <c r="N16" s="4" t="s">
        <v>194</v>
      </c>
      <c r="O16" s="4" t="s">
        <v>195</v>
      </c>
      <c r="P16" s="4" t="s">
        <v>196</v>
      </c>
      <c r="Q16" s="4" t="s">
        <v>4</v>
      </c>
      <c r="R16" s="4" t="s">
        <v>4</v>
      </c>
      <c r="S16" s="4" t="s">
        <v>10</v>
      </c>
      <c r="T16" s="4"/>
      <c r="U16" s="4"/>
      <c r="V16" s="4"/>
      <c r="W16" s="4" t="s">
        <v>27</v>
      </c>
      <c r="X16" s="17">
        <v>5000</v>
      </c>
      <c r="Y16" s="17">
        <v>5000</v>
      </c>
      <c r="Z16" s="4" t="s">
        <v>198</v>
      </c>
      <c r="AA16" s="4" t="s">
        <v>199</v>
      </c>
      <c r="AB16" s="4" t="s">
        <v>200</v>
      </c>
      <c r="AC16" s="4" t="s">
        <v>201</v>
      </c>
      <c r="AD16" s="4" t="s">
        <v>17</v>
      </c>
      <c r="AE16" s="4" t="s">
        <v>202</v>
      </c>
      <c r="AF16" s="4" t="s">
        <v>19</v>
      </c>
      <c r="AG16" s="4" t="s">
        <v>19</v>
      </c>
      <c r="AH16" s="17">
        <v>15126.29</v>
      </c>
    </row>
    <row r="17" spans="2:34" ht="15">
      <c r="B17" s="1" t="s">
        <v>153</v>
      </c>
      <c r="C17" s="2">
        <v>43514</v>
      </c>
      <c r="D17" s="1" t="s">
        <v>154</v>
      </c>
      <c r="E17" s="1" t="s">
        <v>203</v>
      </c>
      <c r="F17" s="1" t="s">
        <v>3</v>
      </c>
      <c r="G17" s="1" t="s">
        <v>4</v>
      </c>
      <c r="H17" s="1" t="s">
        <v>119</v>
      </c>
      <c r="I17" s="2">
        <v>43511</v>
      </c>
      <c r="J17" s="3">
        <v>0.5934143518518519</v>
      </c>
      <c r="K17" s="2">
        <v>43515</v>
      </c>
      <c r="L17" s="1" t="s">
        <v>6</v>
      </c>
      <c r="M17" s="1"/>
      <c r="N17" s="1" t="s">
        <v>204</v>
      </c>
      <c r="O17" s="1" t="s">
        <v>205</v>
      </c>
      <c r="P17" s="1" t="s">
        <v>206</v>
      </c>
      <c r="Q17" s="1" t="s">
        <v>4</v>
      </c>
      <c r="R17" s="1" t="s">
        <v>4</v>
      </c>
      <c r="S17" s="1" t="s">
        <v>10</v>
      </c>
      <c r="T17" s="1"/>
      <c r="U17" s="1"/>
      <c r="V17" s="1"/>
      <c r="W17" s="1" t="s">
        <v>27</v>
      </c>
      <c r="X17" s="16">
        <v>8600</v>
      </c>
      <c r="Y17" s="16">
        <v>8600</v>
      </c>
      <c r="Z17" s="1" t="s">
        <v>208</v>
      </c>
      <c r="AA17" s="1" t="s">
        <v>209</v>
      </c>
      <c r="AB17" s="1" t="s">
        <v>210</v>
      </c>
      <c r="AC17" s="1" t="s">
        <v>211</v>
      </c>
      <c r="AD17" s="1" t="s">
        <v>17</v>
      </c>
      <c r="AE17" s="1" t="s">
        <v>212</v>
      </c>
      <c r="AF17" s="1" t="s">
        <v>19</v>
      </c>
      <c r="AG17" s="1" t="s">
        <v>19</v>
      </c>
      <c r="AH17" s="16">
        <v>20092.864</v>
      </c>
    </row>
    <row r="18" spans="2:34" ht="15">
      <c r="B18" s="4" t="s">
        <v>153</v>
      </c>
      <c r="C18" s="5">
        <v>43514</v>
      </c>
      <c r="D18" s="4" t="s">
        <v>154</v>
      </c>
      <c r="E18" s="4" t="s">
        <v>213</v>
      </c>
      <c r="F18" s="4" t="s">
        <v>3</v>
      </c>
      <c r="G18" s="4" t="s">
        <v>4</v>
      </c>
      <c r="H18" s="4" t="s">
        <v>119</v>
      </c>
      <c r="I18" s="5">
        <v>43511</v>
      </c>
      <c r="J18" s="6">
        <v>0.5634259259259259</v>
      </c>
      <c r="K18" s="5">
        <v>43515</v>
      </c>
      <c r="L18" s="4" t="s">
        <v>6</v>
      </c>
      <c r="M18" s="4"/>
      <c r="N18" s="4" t="s">
        <v>214</v>
      </c>
      <c r="O18" s="4" t="s">
        <v>215</v>
      </c>
      <c r="P18" s="4" t="s">
        <v>216</v>
      </c>
      <c r="Q18" s="4" t="s">
        <v>4</v>
      </c>
      <c r="R18" s="4" t="s">
        <v>4</v>
      </c>
      <c r="S18" s="4" t="s">
        <v>10</v>
      </c>
      <c r="T18" s="4"/>
      <c r="U18" s="4"/>
      <c r="V18" s="4"/>
      <c r="W18" s="4" t="s">
        <v>27</v>
      </c>
      <c r="X18" s="17">
        <v>10500</v>
      </c>
      <c r="Y18" s="17">
        <v>10500</v>
      </c>
      <c r="Z18" s="4" t="s">
        <v>217</v>
      </c>
      <c r="AA18" s="4" t="s">
        <v>218</v>
      </c>
      <c r="AB18" s="4" t="s">
        <v>219</v>
      </c>
      <c r="AC18" s="4" t="s">
        <v>220</v>
      </c>
      <c r="AD18" s="4" t="s">
        <v>17</v>
      </c>
      <c r="AE18" s="4" t="s">
        <v>221</v>
      </c>
      <c r="AF18" s="4" t="s">
        <v>19</v>
      </c>
      <c r="AG18" s="4" t="s">
        <v>19</v>
      </c>
      <c r="AH18" s="17">
        <v>20566.665</v>
      </c>
    </row>
    <row r="19" spans="2:34" ht="15">
      <c r="B19" s="1" t="s">
        <v>153</v>
      </c>
      <c r="C19" s="2">
        <v>43514</v>
      </c>
      <c r="D19" s="1" t="s">
        <v>154</v>
      </c>
      <c r="E19" s="1" t="s">
        <v>222</v>
      </c>
      <c r="F19" s="1" t="s">
        <v>3</v>
      </c>
      <c r="G19" s="1" t="s">
        <v>4</v>
      </c>
      <c r="H19" s="1" t="s">
        <v>119</v>
      </c>
      <c r="I19" s="2">
        <v>43511</v>
      </c>
      <c r="J19" s="3">
        <v>0.5466898148148148</v>
      </c>
      <c r="K19" s="2">
        <v>43515</v>
      </c>
      <c r="L19" s="1" t="s">
        <v>6</v>
      </c>
      <c r="M19" s="1"/>
      <c r="N19" s="1" t="s">
        <v>223</v>
      </c>
      <c r="O19" s="1" t="s">
        <v>224</v>
      </c>
      <c r="P19" s="1" t="s">
        <v>225</v>
      </c>
      <c r="Q19" s="1" t="s">
        <v>4</v>
      </c>
      <c r="R19" s="1" t="s">
        <v>4</v>
      </c>
      <c r="S19" s="1" t="s">
        <v>10</v>
      </c>
      <c r="T19" s="1"/>
      <c r="U19" s="1"/>
      <c r="V19" s="1"/>
      <c r="W19" s="1" t="s">
        <v>27</v>
      </c>
      <c r="X19" s="16">
        <v>10400</v>
      </c>
      <c r="Y19" s="16">
        <v>10400</v>
      </c>
      <c r="Z19" s="1" t="s">
        <v>208</v>
      </c>
      <c r="AA19" s="1" t="s">
        <v>227</v>
      </c>
      <c r="AB19" s="1" t="s">
        <v>228</v>
      </c>
      <c r="AC19" s="1" t="s">
        <v>229</v>
      </c>
      <c r="AD19" s="1" t="s">
        <v>17</v>
      </c>
      <c r="AE19" s="1" t="s">
        <v>230</v>
      </c>
      <c r="AF19" s="1" t="s">
        <v>19</v>
      </c>
      <c r="AG19" s="1" t="s">
        <v>19</v>
      </c>
      <c r="AH19" s="16">
        <v>24298.136</v>
      </c>
    </row>
    <row r="20" spans="2:34" ht="15">
      <c r="B20" s="4" t="s">
        <v>153</v>
      </c>
      <c r="C20" s="5">
        <v>43514</v>
      </c>
      <c r="D20" s="4" t="s">
        <v>154</v>
      </c>
      <c r="E20" s="4" t="s">
        <v>231</v>
      </c>
      <c r="F20" s="4" t="s">
        <v>3</v>
      </c>
      <c r="G20" s="4" t="s">
        <v>4</v>
      </c>
      <c r="H20" s="4" t="s">
        <v>109</v>
      </c>
      <c r="I20" s="5">
        <v>43511</v>
      </c>
      <c r="J20" s="6">
        <v>0.5673611111111111</v>
      </c>
      <c r="K20" s="5">
        <v>43515</v>
      </c>
      <c r="L20" s="4" t="s">
        <v>6</v>
      </c>
      <c r="M20" s="4"/>
      <c r="N20" s="4" t="s">
        <v>232</v>
      </c>
      <c r="O20" s="4" t="s">
        <v>233</v>
      </c>
      <c r="P20" s="4" t="s">
        <v>234</v>
      </c>
      <c r="Q20" s="4" t="s">
        <v>4</v>
      </c>
      <c r="R20" s="4" t="s">
        <v>4</v>
      </c>
      <c r="S20" s="4" t="s">
        <v>10</v>
      </c>
      <c r="T20" s="4"/>
      <c r="U20" s="4"/>
      <c r="V20" s="4"/>
      <c r="W20" s="4" t="s">
        <v>27</v>
      </c>
      <c r="X20" s="17">
        <v>4500</v>
      </c>
      <c r="Y20" s="17">
        <v>4500</v>
      </c>
      <c r="Z20" s="4" t="s">
        <v>236</v>
      </c>
      <c r="AA20" s="4" t="s">
        <v>237</v>
      </c>
      <c r="AB20" s="4" t="s">
        <v>238</v>
      </c>
      <c r="AC20" s="4" t="s">
        <v>239</v>
      </c>
      <c r="AD20" s="4" t="s">
        <v>17</v>
      </c>
      <c r="AE20" s="4" t="s">
        <v>18</v>
      </c>
      <c r="AF20" s="4" t="s">
        <v>19</v>
      </c>
      <c r="AG20" s="4" t="s">
        <v>19</v>
      </c>
      <c r="AH20" s="17">
        <v>19930.78</v>
      </c>
    </row>
    <row r="21" spans="2:34" ht="15">
      <c r="B21" s="1" t="s">
        <v>153</v>
      </c>
      <c r="C21" s="2">
        <v>43514</v>
      </c>
      <c r="D21" s="1" t="s">
        <v>154</v>
      </c>
      <c r="E21" s="1" t="s">
        <v>240</v>
      </c>
      <c r="F21" s="1" t="s">
        <v>3</v>
      </c>
      <c r="G21" s="1" t="s">
        <v>4</v>
      </c>
      <c r="H21" s="1" t="s">
        <v>109</v>
      </c>
      <c r="I21" s="2">
        <v>43511</v>
      </c>
      <c r="J21" s="3">
        <v>0.6465277777777778</v>
      </c>
      <c r="K21" s="2">
        <v>43515</v>
      </c>
      <c r="L21" s="1" t="s">
        <v>6</v>
      </c>
      <c r="M21" s="1"/>
      <c r="N21" s="1" t="s">
        <v>241</v>
      </c>
      <c r="O21" s="1" t="s">
        <v>242</v>
      </c>
      <c r="P21" s="1" t="s">
        <v>243</v>
      </c>
      <c r="Q21" s="1" t="s">
        <v>4</v>
      </c>
      <c r="R21" s="1" t="s">
        <v>4</v>
      </c>
      <c r="S21" s="1" t="s">
        <v>10</v>
      </c>
      <c r="T21" s="1"/>
      <c r="U21" s="1"/>
      <c r="V21" s="1"/>
      <c r="W21" s="1" t="s">
        <v>27</v>
      </c>
      <c r="X21" s="16">
        <v>1350</v>
      </c>
      <c r="Y21" s="16">
        <v>1350</v>
      </c>
      <c r="Z21" s="1" t="s">
        <v>245</v>
      </c>
      <c r="AA21" s="1" t="s">
        <v>246</v>
      </c>
      <c r="AB21" s="1" t="s">
        <v>247</v>
      </c>
      <c r="AC21" s="1" t="s">
        <v>248</v>
      </c>
      <c r="AD21" s="1" t="s">
        <v>17</v>
      </c>
      <c r="AE21" s="1" t="s">
        <v>18</v>
      </c>
      <c r="AF21" s="1" t="s">
        <v>19</v>
      </c>
      <c r="AG21" s="1" t="s">
        <v>19</v>
      </c>
      <c r="AH21" s="16">
        <v>20088.595</v>
      </c>
    </row>
    <row r="22" spans="2:34" ht="15">
      <c r="B22" s="4" t="s">
        <v>153</v>
      </c>
      <c r="C22" s="5">
        <v>43514</v>
      </c>
      <c r="D22" s="4" t="s">
        <v>154</v>
      </c>
      <c r="E22" s="4" t="s">
        <v>249</v>
      </c>
      <c r="F22" s="4" t="s">
        <v>3</v>
      </c>
      <c r="G22" s="4" t="s">
        <v>4</v>
      </c>
      <c r="H22" s="4" t="s">
        <v>119</v>
      </c>
      <c r="I22" s="5">
        <v>43511</v>
      </c>
      <c r="J22" s="6">
        <v>0.6406828703703704</v>
      </c>
      <c r="K22" s="5">
        <v>43515</v>
      </c>
      <c r="L22" s="4" t="s">
        <v>6</v>
      </c>
      <c r="M22" s="4"/>
      <c r="N22" s="4" t="s">
        <v>250</v>
      </c>
      <c r="O22" s="4" t="s">
        <v>251</v>
      </c>
      <c r="P22" s="4" t="s">
        <v>252</v>
      </c>
      <c r="Q22" s="4" t="s">
        <v>4</v>
      </c>
      <c r="R22" s="4" t="s">
        <v>4</v>
      </c>
      <c r="S22" s="4" t="s">
        <v>10</v>
      </c>
      <c r="T22" s="4"/>
      <c r="U22" s="4"/>
      <c r="V22" s="4"/>
      <c r="W22" s="4" t="s">
        <v>27</v>
      </c>
      <c r="X22" s="17">
        <v>6900</v>
      </c>
      <c r="Y22" s="17">
        <v>6900</v>
      </c>
      <c r="Z22" s="4" t="s">
        <v>254</v>
      </c>
      <c r="AA22" s="4" t="s">
        <v>255</v>
      </c>
      <c r="AB22" s="4" t="s">
        <v>256</v>
      </c>
      <c r="AC22" s="4" t="s">
        <v>257</v>
      </c>
      <c r="AD22" s="4" t="s">
        <v>17</v>
      </c>
      <c r="AE22" s="4" t="s">
        <v>258</v>
      </c>
      <c r="AF22" s="4" t="s">
        <v>19</v>
      </c>
      <c r="AG22" s="4" t="s">
        <v>19</v>
      </c>
      <c r="AH22" s="17">
        <v>25449.4025</v>
      </c>
    </row>
    <row r="23" spans="2:34" ht="15">
      <c r="B23" s="1" t="s">
        <v>153</v>
      </c>
      <c r="C23" s="2">
        <v>43514</v>
      </c>
      <c r="D23" s="1" t="s">
        <v>154</v>
      </c>
      <c r="E23" s="1" t="s">
        <v>259</v>
      </c>
      <c r="F23" s="1" t="s">
        <v>3</v>
      </c>
      <c r="G23" s="1" t="s">
        <v>4</v>
      </c>
      <c r="H23" s="1" t="s">
        <v>183</v>
      </c>
      <c r="I23" s="2">
        <v>43511</v>
      </c>
      <c r="J23" s="3">
        <v>0.6305324074074075</v>
      </c>
      <c r="K23" s="2">
        <v>43515</v>
      </c>
      <c r="L23" s="1" t="s">
        <v>6</v>
      </c>
      <c r="M23" s="1"/>
      <c r="N23" s="1" t="s">
        <v>260</v>
      </c>
      <c r="O23" s="1" t="s">
        <v>261</v>
      </c>
      <c r="P23" s="1" t="s">
        <v>262</v>
      </c>
      <c r="Q23" s="1" t="s">
        <v>4</v>
      </c>
      <c r="R23" s="1" t="s">
        <v>4</v>
      </c>
      <c r="S23" s="1" t="s">
        <v>10</v>
      </c>
      <c r="T23" s="1"/>
      <c r="U23" s="1"/>
      <c r="V23" s="1"/>
      <c r="W23" s="1" t="s">
        <v>27</v>
      </c>
      <c r="X23" s="16">
        <v>3200</v>
      </c>
      <c r="Y23" s="16">
        <v>3200</v>
      </c>
      <c r="Z23" s="1" t="s">
        <v>264</v>
      </c>
      <c r="AA23" s="1" t="s">
        <v>265</v>
      </c>
      <c r="AB23" s="1" t="s">
        <v>266</v>
      </c>
      <c r="AC23" s="1" t="s">
        <v>267</v>
      </c>
      <c r="AD23" s="1" t="s">
        <v>17</v>
      </c>
      <c r="AE23" s="1" t="s">
        <v>18</v>
      </c>
      <c r="AF23" s="1" t="s">
        <v>19</v>
      </c>
      <c r="AG23" s="1" t="s">
        <v>19</v>
      </c>
      <c r="AH23" s="16">
        <v>15157.15543</v>
      </c>
    </row>
    <row r="24" spans="2:34" ht="15">
      <c r="B24" s="4" t="s">
        <v>153</v>
      </c>
      <c r="C24" s="5">
        <v>43514</v>
      </c>
      <c r="D24" s="4" t="s">
        <v>154</v>
      </c>
      <c r="E24" s="4" t="s">
        <v>268</v>
      </c>
      <c r="F24" s="4" t="s">
        <v>3</v>
      </c>
      <c r="G24" s="4" t="s">
        <v>4</v>
      </c>
      <c r="H24" s="4" t="s">
        <v>119</v>
      </c>
      <c r="I24" s="5">
        <v>43511</v>
      </c>
      <c r="J24" s="6">
        <v>0.6785416666666667</v>
      </c>
      <c r="K24" s="5">
        <v>43515</v>
      </c>
      <c r="L24" s="4" t="s">
        <v>6</v>
      </c>
      <c r="M24" s="4"/>
      <c r="N24" s="4" t="s">
        <v>269</v>
      </c>
      <c r="O24" s="4" t="s">
        <v>270</v>
      </c>
      <c r="P24" s="4" t="s">
        <v>271</v>
      </c>
      <c r="Q24" s="4" t="s">
        <v>4</v>
      </c>
      <c r="R24" s="4" t="s">
        <v>4</v>
      </c>
      <c r="S24" s="4" t="s">
        <v>10</v>
      </c>
      <c r="T24" s="4"/>
      <c r="U24" s="4"/>
      <c r="V24" s="4"/>
      <c r="W24" s="4" t="s">
        <v>27</v>
      </c>
      <c r="X24" s="17">
        <v>1383</v>
      </c>
      <c r="Y24" s="17">
        <v>1383</v>
      </c>
      <c r="Z24" s="4" t="s">
        <v>273</v>
      </c>
      <c r="AA24" s="4" t="s">
        <v>274</v>
      </c>
      <c r="AB24" s="4" t="s">
        <v>275</v>
      </c>
      <c r="AC24" s="4" t="s">
        <v>276</v>
      </c>
      <c r="AD24" s="4" t="s">
        <v>17</v>
      </c>
      <c r="AE24" s="4" t="s">
        <v>17</v>
      </c>
      <c r="AF24" s="4" t="s">
        <v>19</v>
      </c>
      <c r="AG24" s="4" t="s">
        <v>19</v>
      </c>
      <c r="AH24" s="17">
        <v>7053.54894</v>
      </c>
    </row>
    <row r="25" spans="2:34" ht="15">
      <c r="B25" s="1" t="s">
        <v>153</v>
      </c>
      <c r="C25" s="2">
        <v>43514</v>
      </c>
      <c r="D25" s="1" t="s">
        <v>154</v>
      </c>
      <c r="E25" s="1" t="s">
        <v>277</v>
      </c>
      <c r="F25" s="1" t="s">
        <v>3</v>
      </c>
      <c r="G25" s="1" t="s">
        <v>4</v>
      </c>
      <c r="H25" s="1" t="s">
        <v>119</v>
      </c>
      <c r="I25" s="2">
        <v>43511</v>
      </c>
      <c r="J25" s="3">
        <v>0.5719907407407407</v>
      </c>
      <c r="K25" s="2">
        <v>43515</v>
      </c>
      <c r="L25" s="1" t="s">
        <v>6</v>
      </c>
      <c r="M25" s="1"/>
      <c r="N25" s="1" t="s">
        <v>278</v>
      </c>
      <c r="O25" s="1" t="s">
        <v>279</v>
      </c>
      <c r="P25" s="1" t="s">
        <v>280</v>
      </c>
      <c r="Q25" s="1" t="s">
        <v>4</v>
      </c>
      <c r="R25" s="1" t="s">
        <v>4</v>
      </c>
      <c r="S25" s="1" t="s">
        <v>10</v>
      </c>
      <c r="T25" s="1"/>
      <c r="U25" s="1"/>
      <c r="V25" s="1"/>
      <c r="W25" s="1" t="s">
        <v>27</v>
      </c>
      <c r="X25" s="16">
        <v>8000</v>
      </c>
      <c r="Y25" s="16">
        <v>8000</v>
      </c>
      <c r="Z25" s="1" t="s">
        <v>282</v>
      </c>
      <c r="AA25" s="1" t="s">
        <v>283</v>
      </c>
      <c r="AB25" s="1" t="s">
        <v>284</v>
      </c>
      <c r="AC25" s="1" t="s">
        <v>285</v>
      </c>
      <c r="AD25" s="1" t="s">
        <v>17</v>
      </c>
      <c r="AE25" s="1" t="s">
        <v>286</v>
      </c>
      <c r="AF25" s="1" t="s">
        <v>19</v>
      </c>
      <c r="AG25" s="1" t="s">
        <v>19</v>
      </c>
      <c r="AH25" s="16">
        <v>19875.152</v>
      </c>
    </row>
    <row r="26" spans="2:34" ht="15">
      <c r="B26" s="4" t="s">
        <v>153</v>
      </c>
      <c r="C26" s="5">
        <v>43514</v>
      </c>
      <c r="D26" s="4" t="s">
        <v>154</v>
      </c>
      <c r="E26" s="4" t="s">
        <v>287</v>
      </c>
      <c r="F26" s="4" t="s">
        <v>3</v>
      </c>
      <c r="G26" s="4" t="s">
        <v>4</v>
      </c>
      <c r="H26" s="4" t="s">
        <v>119</v>
      </c>
      <c r="I26" s="5">
        <v>43511</v>
      </c>
      <c r="J26" s="6">
        <v>0.5567476851851851</v>
      </c>
      <c r="K26" s="5">
        <v>43515</v>
      </c>
      <c r="L26" s="4" t="s">
        <v>6</v>
      </c>
      <c r="M26" s="4"/>
      <c r="N26" s="4" t="s">
        <v>288</v>
      </c>
      <c r="O26" s="4" t="s">
        <v>289</v>
      </c>
      <c r="P26" s="4" t="s">
        <v>290</v>
      </c>
      <c r="Q26" s="4" t="s">
        <v>4</v>
      </c>
      <c r="R26" s="4" t="s">
        <v>4</v>
      </c>
      <c r="S26" s="4" t="s">
        <v>10</v>
      </c>
      <c r="T26" s="4"/>
      <c r="U26" s="4"/>
      <c r="V26" s="4"/>
      <c r="W26" s="4" t="s">
        <v>27</v>
      </c>
      <c r="X26" s="17">
        <v>13500</v>
      </c>
      <c r="Y26" s="17">
        <v>13500</v>
      </c>
      <c r="Z26" s="4" t="s">
        <v>292</v>
      </c>
      <c r="AA26" s="4" t="s">
        <v>293</v>
      </c>
      <c r="AB26" s="4" t="s">
        <v>294</v>
      </c>
      <c r="AC26" s="4" t="s">
        <v>295</v>
      </c>
      <c r="AD26" s="4" t="s">
        <v>17</v>
      </c>
      <c r="AE26" s="4" t="s">
        <v>18</v>
      </c>
      <c r="AF26" s="4" t="s">
        <v>19</v>
      </c>
      <c r="AG26" s="4" t="s">
        <v>19</v>
      </c>
      <c r="AH26" s="17">
        <v>25161.22</v>
      </c>
    </row>
    <row r="27" spans="2:34" ht="15">
      <c r="B27" s="1" t="s">
        <v>153</v>
      </c>
      <c r="C27" s="2">
        <v>43514</v>
      </c>
      <c r="D27" s="1" t="s">
        <v>154</v>
      </c>
      <c r="E27" s="1" t="s">
        <v>296</v>
      </c>
      <c r="F27" s="1" t="s">
        <v>3</v>
      </c>
      <c r="G27" s="1" t="s">
        <v>4</v>
      </c>
      <c r="H27" s="1" t="s">
        <v>119</v>
      </c>
      <c r="I27" s="2">
        <v>43511</v>
      </c>
      <c r="J27" s="3">
        <v>0.6378125</v>
      </c>
      <c r="K27" s="2">
        <v>43515</v>
      </c>
      <c r="L27" s="1" t="s">
        <v>6</v>
      </c>
      <c r="M27" s="1"/>
      <c r="N27" s="1" t="s">
        <v>297</v>
      </c>
      <c r="O27" s="1" t="s">
        <v>298</v>
      </c>
      <c r="P27" s="1" t="s">
        <v>299</v>
      </c>
      <c r="Q27" s="1" t="s">
        <v>4</v>
      </c>
      <c r="R27" s="1" t="s">
        <v>4</v>
      </c>
      <c r="S27" s="1" t="s">
        <v>10</v>
      </c>
      <c r="T27" s="1"/>
      <c r="U27" s="1"/>
      <c r="V27" s="1"/>
      <c r="W27" s="1" t="s">
        <v>27</v>
      </c>
      <c r="X27" s="16">
        <v>1100</v>
      </c>
      <c r="Y27" s="16">
        <v>1100</v>
      </c>
      <c r="Z27" s="1" t="s">
        <v>301</v>
      </c>
      <c r="AA27" s="1" t="s">
        <v>302</v>
      </c>
      <c r="AB27" s="1" t="s">
        <v>303</v>
      </c>
      <c r="AC27" s="1" t="s">
        <v>304</v>
      </c>
      <c r="AD27" s="1" t="s">
        <v>17</v>
      </c>
      <c r="AE27" s="1" t="s">
        <v>305</v>
      </c>
      <c r="AF27" s="1" t="s">
        <v>19</v>
      </c>
      <c r="AG27" s="1" t="s">
        <v>19</v>
      </c>
      <c r="AH27" s="16">
        <v>15398.18</v>
      </c>
    </row>
    <row r="28" spans="2:34" ht="15">
      <c r="B28" s="4" t="s">
        <v>153</v>
      </c>
      <c r="C28" s="5">
        <v>43514</v>
      </c>
      <c r="D28" s="4" t="s">
        <v>154</v>
      </c>
      <c r="E28" s="4" t="s">
        <v>306</v>
      </c>
      <c r="F28" s="4" t="s">
        <v>3</v>
      </c>
      <c r="G28" s="4" t="s">
        <v>4</v>
      </c>
      <c r="H28" s="4" t="s">
        <v>119</v>
      </c>
      <c r="I28" s="5">
        <v>43511</v>
      </c>
      <c r="J28" s="6">
        <v>0.6480208333333334</v>
      </c>
      <c r="K28" s="5">
        <v>43515</v>
      </c>
      <c r="L28" s="4" t="s">
        <v>6</v>
      </c>
      <c r="M28" s="4"/>
      <c r="N28" s="4" t="s">
        <v>307</v>
      </c>
      <c r="O28" s="4" t="s">
        <v>308</v>
      </c>
      <c r="P28" s="4" t="s">
        <v>309</v>
      </c>
      <c r="Q28" s="4" t="s">
        <v>4</v>
      </c>
      <c r="R28" s="4" t="s">
        <v>4</v>
      </c>
      <c r="S28" s="4" t="s">
        <v>10</v>
      </c>
      <c r="T28" s="4"/>
      <c r="U28" s="4"/>
      <c r="V28" s="4"/>
      <c r="W28" s="4" t="s">
        <v>27</v>
      </c>
      <c r="X28" s="17">
        <v>629</v>
      </c>
      <c r="Y28" s="17">
        <v>629</v>
      </c>
      <c r="Z28" s="4" t="s">
        <v>169</v>
      </c>
      <c r="AA28" s="4" t="s">
        <v>311</v>
      </c>
      <c r="AB28" s="4" t="s">
        <v>312</v>
      </c>
      <c r="AC28" s="4" t="s">
        <v>313</v>
      </c>
      <c r="AD28" s="4" t="s">
        <v>17</v>
      </c>
      <c r="AE28" s="4" t="s">
        <v>17</v>
      </c>
      <c r="AF28" s="4" t="s">
        <v>19</v>
      </c>
      <c r="AG28" s="4" t="s">
        <v>19</v>
      </c>
      <c r="AH28" s="17">
        <v>1455.89598</v>
      </c>
    </row>
    <row r="29" spans="2:34" ht="15">
      <c r="B29" s="1" t="s">
        <v>153</v>
      </c>
      <c r="C29" s="2">
        <v>43514</v>
      </c>
      <c r="D29" s="1" t="s">
        <v>154</v>
      </c>
      <c r="E29" s="1" t="s">
        <v>314</v>
      </c>
      <c r="F29" s="1" t="s">
        <v>3</v>
      </c>
      <c r="G29" s="1" t="s">
        <v>4</v>
      </c>
      <c r="H29" s="1" t="s">
        <v>1277</v>
      </c>
      <c r="I29" s="2">
        <v>43511</v>
      </c>
      <c r="J29" s="3">
        <v>0.68125</v>
      </c>
      <c r="K29" s="2">
        <v>43515</v>
      </c>
      <c r="L29" s="1" t="s">
        <v>6</v>
      </c>
      <c r="M29" s="1"/>
      <c r="N29" s="1" t="s">
        <v>316</v>
      </c>
      <c r="O29" s="1" t="s">
        <v>317</v>
      </c>
      <c r="P29" s="1" t="s">
        <v>318</v>
      </c>
      <c r="Q29" s="1" t="s">
        <v>4</v>
      </c>
      <c r="R29" s="1" t="s">
        <v>4</v>
      </c>
      <c r="S29" s="1" t="s">
        <v>10</v>
      </c>
      <c r="T29" s="1"/>
      <c r="U29" s="1"/>
      <c r="V29" s="1"/>
      <c r="W29" s="1" t="s">
        <v>27</v>
      </c>
      <c r="X29" s="16">
        <v>10000</v>
      </c>
      <c r="Y29" s="16">
        <v>10000</v>
      </c>
      <c r="Z29" s="1" t="s">
        <v>320</v>
      </c>
      <c r="AA29" s="1" t="s">
        <v>291</v>
      </c>
      <c r="AB29" s="1" t="s">
        <v>321</v>
      </c>
      <c r="AC29" s="1" t="s">
        <v>322</v>
      </c>
      <c r="AD29" s="1" t="s">
        <v>17</v>
      </c>
      <c r="AE29" s="1" t="s">
        <v>323</v>
      </c>
      <c r="AF29" s="1" t="s">
        <v>19</v>
      </c>
      <c r="AG29" s="1" t="s">
        <v>19</v>
      </c>
      <c r="AH29" s="16">
        <v>13595.5</v>
      </c>
    </row>
    <row r="30" spans="2:34" ht="15">
      <c r="B30" s="4" t="s">
        <v>153</v>
      </c>
      <c r="C30" s="5">
        <v>43514</v>
      </c>
      <c r="D30" s="4" t="s">
        <v>154</v>
      </c>
      <c r="E30" s="4" t="s">
        <v>324</v>
      </c>
      <c r="F30" s="4" t="s">
        <v>3</v>
      </c>
      <c r="G30" s="4" t="s">
        <v>4</v>
      </c>
      <c r="H30" s="4" t="s">
        <v>325</v>
      </c>
      <c r="I30" s="5">
        <v>43511</v>
      </c>
      <c r="J30" s="6">
        <v>0.625</v>
      </c>
      <c r="K30" s="5">
        <v>43515</v>
      </c>
      <c r="L30" s="4" t="s">
        <v>6</v>
      </c>
      <c r="M30" s="4"/>
      <c r="N30" s="4" t="s">
        <v>326</v>
      </c>
      <c r="O30" s="4" t="s">
        <v>327</v>
      </c>
      <c r="P30" s="4" t="s">
        <v>328</v>
      </c>
      <c r="Q30" s="4" t="s">
        <v>4</v>
      </c>
      <c r="R30" s="4" t="s">
        <v>4</v>
      </c>
      <c r="S30" s="4" t="s">
        <v>10</v>
      </c>
      <c r="T30" s="4"/>
      <c r="U30" s="4"/>
      <c r="V30" s="4"/>
      <c r="W30" s="4" t="s">
        <v>27</v>
      </c>
      <c r="X30" s="17">
        <v>3300</v>
      </c>
      <c r="Y30" s="17">
        <v>3300</v>
      </c>
      <c r="Z30" s="4" t="s">
        <v>330</v>
      </c>
      <c r="AA30" s="4" t="s">
        <v>331</v>
      </c>
      <c r="AB30" s="4" t="s">
        <v>332</v>
      </c>
      <c r="AC30" s="4" t="s">
        <v>333</v>
      </c>
      <c r="AD30" s="4" t="s">
        <v>17</v>
      </c>
      <c r="AE30" s="4" t="s">
        <v>334</v>
      </c>
      <c r="AF30" s="4" t="s">
        <v>19</v>
      </c>
      <c r="AG30" s="4" t="s">
        <v>19</v>
      </c>
      <c r="AH30" s="17">
        <v>20438.27</v>
      </c>
    </row>
    <row r="31" spans="2:34" ht="15">
      <c r="B31" s="1" t="s">
        <v>153</v>
      </c>
      <c r="C31" s="2">
        <v>43514</v>
      </c>
      <c r="D31" s="1" t="s">
        <v>154</v>
      </c>
      <c r="E31" s="1" t="s">
        <v>335</v>
      </c>
      <c r="F31" s="1" t="s">
        <v>3</v>
      </c>
      <c r="G31" s="1" t="s">
        <v>4</v>
      </c>
      <c r="H31" s="1" t="s">
        <v>325</v>
      </c>
      <c r="I31" s="2">
        <v>43511</v>
      </c>
      <c r="J31" s="3">
        <v>0.6236111111111111</v>
      </c>
      <c r="K31" s="2">
        <v>43515</v>
      </c>
      <c r="L31" s="1" t="s">
        <v>6</v>
      </c>
      <c r="M31" s="1"/>
      <c r="N31" s="1" t="s">
        <v>336</v>
      </c>
      <c r="O31" s="1" t="s">
        <v>337</v>
      </c>
      <c r="P31" s="1" t="s">
        <v>338</v>
      </c>
      <c r="Q31" s="1" t="s">
        <v>4</v>
      </c>
      <c r="R31" s="1" t="s">
        <v>4</v>
      </c>
      <c r="S31" s="1" t="s">
        <v>10</v>
      </c>
      <c r="T31" s="1"/>
      <c r="U31" s="1"/>
      <c r="V31" s="1"/>
      <c r="W31" s="1" t="s">
        <v>27</v>
      </c>
      <c r="X31" s="16">
        <v>1300</v>
      </c>
      <c r="Y31" s="16">
        <v>1300</v>
      </c>
      <c r="Z31" s="1" t="s">
        <v>340</v>
      </c>
      <c r="AA31" s="1" t="s">
        <v>341</v>
      </c>
      <c r="AB31" s="1" t="s">
        <v>342</v>
      </c>
      <c r="AC31" s="1" t="s">
        <v>343</v>
      </c>
      <c r="AD31" s="1" t="s">
        <v>17</v>
      </c>
      <c r="AE31" s="1" t="s">
        <v>344</v>
      </c>
      <c r="AF31" s="1" t="s">
        <v>19</v>
      </c>
      <c r="AG31" s="1" t="s">
        <v>19</v>
      </c>
      <c r="AH31" s="16">
        <v>25201.43</v>
      </c>
    </row>
    <row r="32" spans="2:34" ht="15">
      <c r="B32" s="4" t="s">
        <v>153</v>
      </c>
      <c r="C32" s="5">
        <v>43514</v>
      </c>
      <c r="D32" s="4" t="s">
        <v>154</v>
      </c>
      <c r="E32" s="4" t="s">
        <v>345</v>
      </c>
      <c r="F32" s="4" t="s">
        <v>3</v>
      </c>
      <c r="G32" s="4" t="s">
        <v>4</v>
      </c>
      <c r="H32" s="4" t="s">
        <v>119</v>
      </c>
      <c r="I32" s="5">
        <v>43514</v>
      </c>
      <c r="J32" s="6">
        <v>0.34546296296296297</v>
      </c>
      <c r="K32" s="5">
        <v>43516</v>
      </c>
      <c r="L32" s="4" t="s">
        <v>6</v>
      </c>
      <c r="M32" s="4"/>
      <c r="N32" s="4" t="s">
        <v>110</v>
      </c>
      <c r="O32" s="4" t="s">
        <v>111</v>
      </c>
      <c r="P32" s="4" t="s">
        <v>112</v>
      </c>
      <c r="Q32" s="4" t="s">
        <v>4</v>
      </c>
      <c r="R32" s="4" t="s">
        <v>4</v>
      </c>
      <c r="S32" s="4" t="s">
        <v>10</v>
      </c>
      <c r="T32" s="4"/>
      <c r="U32" s="4"/>
      <c r="V32" s="4"/>
      <c r="W32" s="4" t="s">
        <v>27</v>
      </c>
      <c r="X32" s="17">
        <v>11200</v>
      </c>
      <c r="Y32" s="17">
        <v>11200</v>
      </c>
      <c r="Z32" s="4" t="s">
        <v>347</v>
      </c>
      <c r="AA32" s="4" t="s">
        <v>348</v>
      </c>
      <c r="AB32" s="4" t="s">
        <v>349</v>
      </c>
      <c r="AC32" s="4" t="s">
        <v>350</v>
      </c>
      <c r="AD32" s="4" t="s">
        <v>17</v>
      </c>
      <c r="AE32" s="4" t="s">
        <v>18</v>
      </c>
      <c r="AF32" s="4" t="s">
        <v>19</v>
      </c>
      <c r="AG32" s="4" t="s">
        <v>19</v>
      </c>
      <c r="AH32" s="17">
        <v>30862.6</v>
      </c>
    </row>
    <row r="33" spans="2:34" ht="15">
      <c r="B33" s="1" t="s">
        <v>153</v>
      </c>
      <c r="C33" s="2">
        <v>43514</v>
      </c>
      <c r="D33" s="1" t="s">
        <v>154</v>
      </c>
      <c r="E33" s="1" t="s">
        <v>351</v>
      </c>
      <c r="F33" s="1" t="s">
        <v>3</v>
      </c>
      <c r="G33" s="1" t="s">
        <v>4</v>
      </c>
      <c r="H33" s="1" t="s">
        <v>119</v>
      </c>
      <c r="I33" s="2">
        <v>43514</v>
      </c>
      <c r="J33" s="3">
        <v>0.3662962962962963</v>
      </c>
      <c r="K33" s="2">
        <v>43516</v>
      </c>
      <c r="L33" s="1" t="s">
        <v>6</v>
      </c>
      <c r="M33" s="1"/>
      <c r="N33" s="1" t="s">
        <v>269</v>
      </c>
      <c r="O33" s="1" t="s">
        <v>270</v>
      </c>
      <c r="P33" s="1" t="s">
        <v>271</v>
      </c>
      <c r="Q33" s="1" t="s">
        <v>4</v>
      </c>
      <c r="R33" s="1" t="s">
        <v>4</v>
      </c>
      <c r="S33" s="1" t="s">
        <v>10</v>
      </c>
      <c r="T33" s="1"/>
      <c r="U33" s="1"/>
      <c r="V33" s="1"/>
      <c r="W33" s="1" t="s">
        <v>27</v>
      </c>
      <c r="X33" s="16">
        <v>3617</v>
      </c>
      <c r="Y33" s="16">
        <v>3617</v>
      </c>
      <c r="Z33" s="1" t="s">
        <v>353</v>
      </c>
      <c r="AA33" s="1" t="s">
        <v>354</v>
      </c>
      <c r="AB33" s="1" t="s">
        <v>355</v>
      </c>
      <c r="AC33" s="1" t="s">
        <v>356</v>
      </c>
      <c r="AD33" s="1" t="s">
        <v>17</v>
      </c>
      <c r="AE33" s="1" t="s">
        <v>18</v>
      </c>
      <c r="AF33" s="1" t="s">
        <v>19</v>
      </c>
      <c r="AG33" s="1" t="s">
        <v>19</v>
      </c>
      <c r="AH33" s="16">
        <v>18484.5934</v>
      </c>
    </row>
    <row r="34" spans="2:34" ht="15">
      <c r="B34" s="4" t="s">
        <v>153</v>
      </c>
      <c r="C34" s="5">
        <v>43514</v>
      </c>
      <c r="D34" s="4" t="s">
        <v>154</v>
      </c>
      <c r="E34" s="4" t="s">
        <v>357</v>
      </c>
      <c r="F34" s="4" t="s">
        <v>3</v>
      </c>
      <c r="G34" s="4" t="s">
        <v>4</v>
      </c>
      <c r="H34" s="4" t="s">
        <v>119</v>
      </c>
      <c r="I34" s="5">
        <v>43514</v>
      </c>
      <c r="J34" s="6">
        <v>0.36640046296296297</v>
      </c>
      <c r="K34" s="5">
        <v>43516</v>
      </c>
      <c r="L34" s="4" t="s">
        <v>6</v>
      </c>
      <c r="M34" s="4"/>
      <c r="N34" s="4" t="s">
        <v>358</v>
      </c>
      <c r="O34" s="4" t="s">
        <v>359</v>
      </c>
      <c r="P34" s="4" t="s">
        <v>360</v>
      </c>
      <c r="Q34" s="4" t="s">
        <v>4</v>
      </c>
      <c r="R34" s="4" t="s">
        <v>4</v>
      </c>
      <c r="S34" s="4" t="s">
        <v>10</v>
      </c>
      <c r="T34" s="4"/>
      <c r="U34" s="4"/>
      <c r="V34" s="4"/>
      <c r="W34" s="4" t="s">
        <v>27</v>
      </c>
      <c r="X34" s="17">
        <v>10500</v>
      </c>
      <c r="Y34" s="17">
        <v>10500</v>
      </c>
      <c r="Z34" s="4" t="s">
        <v>361</v>
      </c>
      <c r="AA34" s="4" t="s">
        <v>362</v>
      </c>
      <c r="AB34" s="4" t="s">
        <v>363</v>
      </c>
      <c r="AC34" s="4" t="s">
        <v>364</v>
      </c>
      <c r="AD34" s="4" t="s">
        <v>17</v>
      </c>
      <c r="AE34" s="4" t="s">
        <v>18</v>
      </c>
      <c r="AF34" s="4" t="s">
        <v>19</v>
      </c>
      <c r="AG34" s="4" t="s">
        <v>19</v>
      </c>
      <c r="AH34" s="17">
        <v>28092.07</v>
      </c>
    </row>
    <row r="35" spans="2:34" ht="15">
      <c r="B35" s="1" t="s">
        <v>153</v>
      </c>
      <c r="C35" s="2">
        <v>43514</v>
      </c>
      <c r="D35" s="1" t="s">
        <v>154</v>
      </c>
      <c r="E35" s="1" t="s">
        <v>365</v>
      </c>
      <c r="F35" s="1" t="s">
        <v>3</v>
      </c>
      <c r="G35" s="1" t="s">
        <v>4</v>
      </c>
      <c r="H35" s="1" t="s">
        <v>126</v>
      </c>
      <c r="I35" s="2">
        <v>43511</v>
      </c>
      <c r="J35" s="3">
        <v>0.6980902777777778</v>
      </c>
      <c r="K35" s="2">
        <v>43515</v>
      </c>
      <c r="L35" s="1" t="s">
        <v>6</v>
      </c>
      <c r="M35" s="1"/>
      <c r="N35" s="1" t="s">
        <v>366</v>
      </c>
      <c r="O35" s="1" t="s">
        <v>367</v>
      </c>
      <c r="P35" s="1" t="s">
        <v>368</v>
      </c>
      <c r="Q35" s="1" t="s">
        <v>4</v>
      </c>
      <c r="R35" s="1" t="s">
        <v>4</v>
      </c>
      <c r="S35" s="1" t="s">
        <v>10</v>
      </c>
      <c r="T35" s="1"/>
      <c r="U35" s="1"/>
      <c r="V35" s="1"/>
      <c r="W35" s="1" t="s">
        <v>27</v>
      </c>
      <c r="X35" s="16">
        <v>8200</v>
      </c>
      <c r="Y35" s="16">
        <v>8200</v>
      </c>
      <c r="Z35" s="1" t="s">
        <v>370</v>
      </c>
      <c r="AA35" s="1" t="s">
        <v>371</v>
      </c>
      <c r="AB35" s="1" t="s">
        <v>372</v>
      </c>
      <c r="AC35" s="1" t="s">
        <v>373</v>
      </c>
      <c r="AD35" s="1" t="s">
        <v>17</v>
      </c>
      <c r="AE35" s="1" t="s">
        <v>374</v>
      </c>
      <c r="AF35" s="1" t="s">
        <v>19</v>
      </c>
      <c r="AG35" s="1" t="s">
        <v>19</v>
      </c>
      <c r="AH35" s="16">
        <v>20149.256</v>
      </c>
    </row>
    <row r="36" spans="2:34" ht="15">
      <c r="B36" s="4" t="s">
        <v>153</v>
      </c>
      <c r="C36" s="5">
        <v>43514</v>
      </c>
      <c r="D36" s="4" t="s">
        <v>154</v>
      </c>
      <c r="E36" s="4" t="s">
        <v>375</v>
      </c>
      <c r="F36" s="4" t="s">
        <v>3</v>
      </c>
      <c r="G36" s="4" t="s">
        <v>4</v>
      </c>
      <c r="H36" s="4" t="s">
        <v>126</v>
      </c>
      <c r="I36" s="5">
        <v>43511</v>
      </c>
      <c r="J36" s="6">
        <v>0.6995833333333333</v>
      </c>
      <c r="K36" s="5">
        <v>43515</v>
      </c>
      <c r="L36" s="4" t="s">
        <v>6</v>
      </c>
      <c r="M36" s="4"/>
      <c r="N36" s="4" t="s">
        <v>127</v>
      </c>
      <c r="O36" s="4" t="s">
        <v>128</v>
      </c>
      <c r="P36" s="4" t="s">
        <v>129</v>
      </c>
      <c r="Q36" s="4" t="s">
        <v>4</v>
      </c>
      <c r="R36" s="4" t="s">
        <v>4</v>
      </c>
      <c r="S36" s="4" t="s">
        <v>10</v>
      </c>
      <c r="T36" s="4"/>
      <c r="U36" s="4"/>
      <c r="V36" s="4"/>
      <c r="W36" s="4" t="s">
        <v>27</v>
      </c>
      <c r="X36" s="17">
        <v>4700</v>
      </c>
      <c r="Y36" s="17">
        <v>4700</v>
      </c>
      <c r="Z36" s="4" t="s">
        <v>377</v>
      </c>
      <c r="AA36" s="4" t="s">
        <v>378</v>
      </c>
      <c r="AB36" s="4" t="s">
        <v>379</v>
      </c>
      <c r="AC36" s="4" t="s">
        <v>380</v>
      </c>
      <c r="AD36" s="4" t="s">
        <v>17</v>
      </c>
      <c r="AE36" s="4" t="s">
        <v>18</v>
      </c>
      <c r="AF36" s="4" t="s">
        <v>19</v>
      </c>
      <c r="AG36" s="4" t="s">
        <v>19</v>
      </c>
      <c r="AH36" s="17">
        <v>35086.03</v>
      </c>
    </row>
    <row r="37" spans="2:34" ht="15">
      <c r="B37" s="1" t="s">
        <v>153</v>
      </c>
      <c r="C37" s="2">
        <v>43514</v>
      </c>
      <c r="D37" s="1" t="s">
        <v>154</v>
      </c>
      <c r="E37" s="1" t="s">
        <v>381</v>
      </c>
      <c r="F37" s="1" t="s">
        <v>3</v>
      </c>
      <c r="G37" s="1" t="s">
        <v>4</v>
      </c>
      <c r="H37" s="1" t="s">
        <v>325</v>
      </c>
      <c r="I37" s="2">
        <v>43511</v>
      </c>
      <c r="J37" s="3">
        <v>0.6296759259259259</v>
      </c>
      <c r="K37" s="2">
        <v>43515</v>
      </c>
      <c r="L37" s="1" t="s">
        <v>6</v>
      </c>
      <c r="M37" s="1"/>
      <c r="N37" s="1" t="s">
        <v>382</v>
      </c>
      <c r="O37" s="1" t="s">
        <v>383</v>
      </c>
      <c r="P37" s="1" t="s">
        <v>384</v>
      </c>
      <c r="Q37" s="1" t="s">
        <v>4</v>
      </c>
      <c r="R37" s="1" t="s">
        <v>4</v>
      </c>
      <c r="S37" s="1" t="s">
        <v>10</v>
      </c>
      <c r="T37" s="1"/>
      <c r="U37" s="1"/>
      <c r="V37" s="1"/>
      <c r="W37" s="1" t="s">
        <v>27</v>
      </c>
      <c r="X37" s="16">
        <v>1350</v>
      </c>
      <c r="Y37" s="16">
        <v>1350</v>
      </c>
      <c r="Z37" s="1" t="s">
        <v>385</v>
      </c>
      <c r="AA37" s="1" t="s">
        <v>386</v>
      </c>
      <c r="AB37" s="1" t="s">
        <v>387</v>
      </c>
      <c r="AC37" s="1" t="s">
        <v>388</v>
      </c>
      <c r="AD37" s="1" t="s">
        <v>17</v>
      </c>
      <c r="AE37" s="1" t="s">
        <v>389</v>
      </c>
      <c r="AF37" s="1" t="s">
        <v>19</v>
      </c>
      <c r="AG37" s="1" t="s">
        <v>19</v>
      </c>
      <c r="AH37" s="16">
        <v>15498.88</v>
      </c>
    </row>
    <row r="38" spans="2:34" ht="15">
      <c r="B38" s="4" t="s">
        <v>153</v>
      </c>
      <c r="C38" s="5">
        <v>43514</v>
      </c>
      <c r="D38" s="4" t="s">
        <v>154</v>
      </c>
      <c r="E38" s="4" t="s">
        <v>390</v>
      </c>
      <c r="F38" s="4" t="s">
        <v>3</v>
      </c>
      <c r="G38" s="4" t="s">
        <v>4</v>
      </c>
      <c r="H38" s="4" t="s">
        <v>325</v>
      </c>
      <c r="I38" s="5">
        <v>43511</v>
      </c>
      <c r="J38" s="6">
        <v>0.6297685185185186</v>
      </c>
      <c r="K38" s="5">
        <v>43515</v>
      </c>
      <c r="L38" s="4" t="s">
        <v>6</v>
      </c>
      <c r="M38" s="4"/>
      <c r="N38" s="4" t="s">
        <v>391</v>
      </c>
      <c r="O38" s="4" t="s">
        <v>392</v>
      </c>
      <c r="P38" s="4" t="s">
        <v>393</v>
      </c>
      <c r="Q38" s="4" t="s">
        <v>4</v>
      </c>
      <c r="R38" s="4" t="s">
        <v>4</v>
      </c>
      <c r="S38" s="4" t="s">
        <v>10</v>
      </c>
      <c r="T38" s="4"/>
      <c r="U38" s="4"/>
      <c r="V38" s="4"/>
      <c r="W38" s="4" t="s">
        <v>27</v>
      </c>
      <c r="X38" s="17">
        <v>700</v>
      </c>
      <c r="Y38" s="17">
        <v>700</v>
      </c>
      <c r="Z38" s="4" t="s">
        <v>395</v>
      </c>
      <c r="AA38" s="4" t="s">
        <v>396</v>
      </c>
      <c r="AB38" s="4" t="s">
        <v>397</v>
      </c>
      <c r="AC38" s="4" t="s">
        <v>398</v>
      </c>
      <c r="AD38" s="4" t="s">
        <v>17</v>
      </c>
      <c r="AE38" s="4" t="s">
        <v>399</v>
      </c>
      <c r="AF38" s="4" t="s">
        <v>19</v>
      </c>
      <c r="AG38" s="4" t="s">
        <v>19</v>
      </c>
      <c r="AH38" s="17">
        <v>22415.6372</v>
      </c>
    </row>
    <row r="39" spans="2:34" ht="15">
      <c r="B39" s="1" t="s">
        <v>153</v>
      </c>
      <c r="C39" s="2">
        <v>43514</v>
      </c>
      <c r="D39" s="1" t="s">
        <v>154</v>
      </c>
      <c r="E39" s="1" t="s">
        <v>400</v>
      </c>
      <c r="F39" s="1" t="s">
        <v>3</v>
      </c>
      <c r="G39" s="1" t="s">
        <v>4</v>
      </c>
      <c r="H39" s="1" t="s">
        <v>1366</v>
      </c>
      <c r="I39" s="2">
        <v>43514</v>
      </c>
      <c r="J39" s="3">
        <v>0.3645833333333333</v>
      </c>
      <c r="K39" s="2">
        <v>43516</v>
      </c>
      <c r="L39" s="1" t="s">
        <v>6</v>
      </c>
      <c r="M39" s="1"/>
      <c r="N39" s="1" t="s">
        <v>401</v>
      </c>
      <c r="O39" s="1" t="s">
        <v>402</v>
      </c>
      <c r="P39" s="1" t="s">
        <v>403</v>
      </c>
      <c r="Q39" s="1" t="s">
        <v>4</v>
      </c>
      <c r="R39" s="1" t="s">
        <v>4</v>
      </c>
      <c r="S39" s="1" t="s">
        <v>10</v>
      </c>
      <c r="T39" s="1"/>
      <c r="U39" s="1"/>
      <c r="V39" s="1"/>
      <c r="W39" s="1" t="s">
        <v>27</v>
      </c>
      <c r="X39" s="16">
        <v>165000</v>
      </c>
      <c r="Y39" s="16">
        <v>165000</v>
      </c>
      <c r="Z39" s="1" t="s">
        <v>405</v>
      </c>
      <c r="AA39" s="1" t="s">
        <v>406</v>
      </c>
      <c r="AB39" s="1" t="s">
        <v>407</v>
      </c>
      <c r="AC39" s="1" t="s">
        <v>408</v>
      </c>
      <c r="AD39" s="1" t="s">
        <v>17</v>
      </c>
      <c r="AE39" s="1" t="s">
        <v>18</v>
      </c>
      <c r="AF39" s="1" t="s">
        <v>19</v>
      </c>
      <c r="AG39" s="1" t="s">
        <v>19</v>
      </c>
      <c r="AH39" s="16">
        <v>30008.395</v>
      </c>
    </row>
    <row r="40" spans="2:34" ht="15">
      <c r="B40" s="4" t="s">
        <v>153</v>
      </c>
      <c r="C40" s="5">
        <v>43514</v>
      </c>
      <c r="D40" s="4" t="s">
        <v>154</v>
      </c>
      <c r="E40" s="4" t="s">
        <v>409</v>
      </c>
      <c r="F40" s="4" t="s">
        <v>3</v>
      </c>
      <c r="G40" s="4" t="s">
        <v>4</v>
      </c>
      <c r="H40" s="4" t="s">
        <v>1366</v>
      </c>
      <c r="I40" s="5">
        <v>43514</v>
      </c>
      <c r="J40" s="6">
        <v>0.3625</v>
      </c>
      <c r="K40" s="5">
        <v>43516</v>
      </c>
      <c r="L40" s="4" t="s">
        <v>6</v>
      </c>
      <c r="M40" s="4"/>
      <c r="N40" s="4" t="s">
        <v>410</v>
      </c>
      <c r="O40" s="4" t="s">
        <v>411</v>
      </c>
      <c r="P40" s="4" t="s">
        <v>412</v>
      </c>
      <c r="Q40" s="4" t="s">
        <v>4</v>
      </c>
      <c r="R40" s="4" t="s">
        <v>4</v>
      </c>
      <c r="S40" s="4" t="s">
        <v>10</v>
      </c>
      <c r="T40" s="4"/>
      <c r="U40" s="4"/>
      <c r="V40" s="4"/>
      <c r="W40" s="4" t="s">
        <v>27</v>
      </c>
      <c r="X40" s="17">
        <v>8600</v>
      </c>
      <c r="Y40" s="17">
        <v>8600</v>
      </c>
      <c r="Z40" s="4" t="s">
        <v>413</v>
      </c>
      <c r="AA40" s="4" t="s">
        <v>414</v>
      </c>
      <c r="AB40" s="4" t="s">
        <v>415</v>
      </c>
      <c r="AC40" s="4" t="s">
        <v>416</v>
      </c>
      <c r="AD40" s="4" t="s">
        <v>17</v>
      </c>
      <c r="AE40" s="4" t="s">
        <v>18</v>
      </c>
      <c r="AF40" s="4" t="s">
        <v>19</v>
      </c>
      <c r="AG40" s="4" t="s">
        <v>19</v>
      </c>
      <c r="AH40" s="17">
        <v>23267.44</v>
      </c>
    </row>
    <row r="41" spans="2:34" ht="15">
      <c r="B41" s="1" t="s">
        <v>153</v>
      </c>
      <c r="C41" s="2">
        <v>43514</v>
      </c>
      <c r="D41" s="1" t="s">
        <v>154</v>
      </c>
      <c r="E41" s="1" t="s">
        <v>417</v>
      </c>
      <c r="F41" s="1" t="s">
        <v>3</v>
      </c>
      <c r="G41" s="1" t="s">
        <v>4</v>
      </c>
      <c r="H41" s="1" t="s">
        <v>1277</v>
      </c>
      <c r="I41" s="2">
        <v>43511</v>
      </c>
      <c r="J41" s="3">
        <v>0.6236111111111111</v>
      </c>
      <c r="K41" s="2">
        <v>43515</v>
      </c>
      <c r="L41" s="1" t="s">
        <v>6</v>
      </c>
      <c r="M41" s="1"/>
      <c r="N41" s="1" t="s">
        <v>418</v>
      </c>
      <c r="O41" s="1" t="s">
        <v>419</v>
      </c>
      <c r="P41" s="1" t="s">
        <v>420</v>
      </c>
      <c r="Q41" s="1" t="s">
        <v>4</v>
      </c>
      <c r="R41" s="1" t="s">
        <v>4</v>
      </c>
      <c r="S41" s="1" t="s">
        <v>10</v>
      </c>
      <c r="T41" s="1"/>
      <c r="U41" s="1"/>
      <c r="V41" s="1"/>
      <c r="W41" s="1" t="s">
        <v>27</v>
      </c>
      <c r="X41" s="16">
        <v>16200</v>
      </c>
      <c r="Y41" s="16">
        <v>16200</v>
      </c>
      <c r="Z41" s="1" t="s">
        <v>422</v>
      </c>
      <c r="AA41" s="1" t="s">
        <v>423</v>
      </c>
      <c r="AB41" s="1" t="s">
        <v>424</v>
      </c>
      <c r="AC41" s="1" t="s">
        <v>425</v>
      </c>
      <c r="AD41" s="1" t="s">
        <v>17</v>
      </c>
      <c r="AE41" s="1" t="s">
        <v>18</v>
      </c>
      <c r="AF41" s="1" t="s">
        <v>19</v>
      </c>
      <c r="AG41" s="1" t="s">
        <v>19</v>
      </c>
      <c r="AH41" s="16">
        <v>25485.868</v>
      </c>
    </row>
    <row r="42" spans="2:34" ht="15">
      <c r="B42" s="4" t="s">
        <v>153</v>
      </c>
      <c r="C42" s="5">
        <v>43514</v>
      </c>
      <c r="D42" s="4" t="s">
        <v>154</v>
      </c>
      <c r="E42" s="4" t="s">
        <v>426</v>
      </c>
      <c r="F42" s="4" t="s">
        <v>3</v>
      </c>
      <c r="G42" s="4" t="s">
        <v>4</v>
      </c>
      <c r="H42" s="4" t="s">
        <v>90</v>
      </c>
      <c r="I42" s="5">
        <v>43514</v>
      </c>
      <c r="J42" s="6">
        <v>0.4534722222222222</v>
      </c>
      <c r="K42" s="5">
        <v>43516</v>
      </c>
      <c r="L42" s="4" t="s">
        <v>6</v>
      </c>
      <c r="M42" s="4"/>
      <c r="N42" s="4" t="s">
        <v>427</v>
      </c>
      <c r="O42" s="4" t="s">
        <v>428</v>
      </c>
      <c r="P42" s="4" t="s">
        <v>429</v>
      </c>
      <c r="Q42" s="4" t="s">
        <v>4</v>
      </c>
      <c r="R42" s="4" t="s">
        <v>4</v>
      </c>
      <c r="S42" s="4" t="s">
        <v>10</v>
      </c>
      <c r="T42" s="4"/>
      <c r="U42" s="4"/>
      <c r="V42" s="4"/>
      <c r="W42" s="4" t="s">
        <v>27</v>
      </c>
      <c r="X42" s="17">
        <v>11600</v>
      </c>
      <c r="Y42" s="17">
        <v>11600</v>
      </c>
      <c r="Z42" s="4" t="s">
        <v>431</v>
      </c>
      <c r="AA42" s="4" t="s">
        <v>432</v>
      </c>
      <c r="AB42" s="4" t="s">
        <v>433</v>
      </c>
      <c r="AC42" s="4" t="s">
        <v>434</v>
      </c>
      <c r="AD42" s="4" t="s">
        <v>17</v>
      </c>
      <c r="AE42" s="4" t="s">
        <v>18</v>
      </c>
      <c r="AF42" s="4" t="s">
        <v>19</v>
      </c>
      <c r="AG42" s="4" t="s">
        <v>19</v>
      </c>
      <c r="AH42" s="17">
        <v>25455.808</v>
      </c>
    </row>
    <row r="43" spans="2:34" ht="15">
      <c r="B43" s="1" t="s">
        <v>20</v>
      </c>
      <c r="C43" s="2">
        <v>43515</v>
      </c>
      <c r="D43" s="1" t="s">
        <v>21</v>
      </c>
      <c r="E43" s="1" t="s">
        <v>435</v>
      </c>
      <c r="F43" s="1" t="s">
        <v>3</v>
      </c>
      <c r="G43" s="1" t="s">
        <v>4</v>
      </c>
      <c r="H43" s="1" t="s">
        <v>109</v>
      </c>
      <c r="I43" s="2">
        <v>43514</v>
      </c>
      <c r="J43" s="3">
        <v>0.6788773148148148</v>
      </c>
      <c r="K43" s="2">
        <v>43516</v>
      </c>
      <c r="L43" s="1" t="s">
        <v>6</v>
      </c>
      <c r="M43" s="1"/>
      <c r="N43" s="1" t="s">
        <v>145</v>
      </c>
      <c r="O43" s="1" t="s">
        <v>146</v>
      </c>
      <c r="P43" s="1" t="s">
        <v>436</v>
      </c>
      <c r="Q43" s="1"/>
      <c r="R43" s="1"/>
      <c r="S43" s="1"/>
      <c r="T43" s="1"/>
      <c r="U43" s="1"/>
      <c r="V43" s="1"/>
      <c r="W43" s="1" t="s">
        <v>27</v>
      </c>
      <c r="X43" s="16">
        <v>1059</v>
      </c>
      <c r="Y43" s="16">
        <v>1059</v>
      </c>
      <c r="Z43" s="1" t="s">
        <v>438</v>
      </c>
      <c r="AA43" s="1" t="s">
        <v>439</v>
      </c>
      <c r="AB43" s="1" t="s">
        <v>440</v>
      </c>
      <c r="AC43" s="1" t="s">
        <v>441</v>
      </c>
      <c r="AD43" s="1" t="s">
        <v>17</v>
      </c>
      <c r="AE43" s="1" t="s">
        <v>18</v>
      </c>
      <c r="AF43" s="1" t="s">
        <v>19</v>
      </c>
      <c r="AG43" s="1" t="s">
        <v>19</v>
      </c>
      <c r="AH43" s="16">
        <v>3231.389116</v>
      </c>
    </row>
    <row r="44" spans="2:34" ht="15">
      <c r="B44" s="1" t="s">
        <v>153</v>
      </c>
      <c r="C44" s="2">
        <v>43515</v>
      </c>
      <c r="D44" s="1" t="s">
        <v>154</v>
      </c>
      <c r="E44" s="1" t="s">
        <v>442</v>
      </c>
      <c r="F44" s="1" t="s">
        <v>3</v>
      </c>
      <c r="G44" s="1" t="s">
        <v>4</v>
      </c>
      <c r="H44" s="1" t="s">
        <v>119</v>
      </c>
      <c r="I44" s="2">
        <v>43514</v>
      </c>
      <c r="J44" s="3">
        <v>0.48064814814814816</v>
      </c>
      <c r="K44" s="2">
        <v>43516</v>
      </c>
      <c r="L44" s="1" t="s">
        <v>6</v>
      </c>
      <c r="M44" s="1"/>
      <c r="N44" s="1" t="s">
        <v>443</v>
      </c>
      <c r="O44" s="1" t="s">
        <v>308</v>
      </c>
      <c r="P44" s="1" t="s">
        <v>444</v>
      </c>
      <c r="Q44" s="1" t="s">
        <v>4</v>
      </c>
      <c r="R44" s="1" t="s">
        <v>4</v>
      </c>
      <c r="S44" s="1" t="s">
        <v>10</v>
      </c>
      <c r="T44" s="1"/>
      <c r="U44" s="1"/>
      <c r="V44" s="1"/>
      <c r="W44" s="1" t="s">
        <v>27</v>
      </c>
      <c r="X44" s="16">
        <v>2019</v>
      </c>
      <c r="Y44" s="16">
        <v>2019</v>
      </c>
      <c r="Z44" s="1" t="s">
        <v>169</v>
      </c>
      <c r="AA44" s="1" t="s">
        <v>446</v>
      </c>
      <c r="AB44" s="1" t="s">
        <v>447</v>
      </c>
      <c r="AC44" s="1" t="s">
        <v>448</v>
      </c>
      <c r="AD44" s="1" t="s">
        <v>17</v>
      </c>
      <c r="AE44" s="1" t="s">
        <v>17</v>
      </c>
      <c r="AF44" s="1" t="s">
        <v>19</v>
      </c>
      <c r="AG44" s="1" t="s">
        <v>19</v>
      </c>
      <c r="AH44" s="16">
        <v>4673.21778</v>
      </c>
    </row>
    <row r="45" spans="2:34" ht="15">
      <c r="B45" s="4" t="s">
        <v>153</v>
      </c>
      <c r="C45" s="5">
        <v>43515</v>
      </c>
      <c r="D45" s="4" t="s">
        <v>154</v>
      </c>
      <c r="E45" s="4" t="s">
        <v>449</v>
      </c>
      <c r="F45" s="4" t="s">
        <v>3</v>
      </c>
      <c r="G45" s="4" t="s">
        <v>4</v>
      </c>
      <c r="H45" s="4" t="s">
        <v>119</v>
      </c>
      <c r="I45" s="5">
        <v>43514</v>
      </c>
      <c r="J45" s="6">
        <v>0.5949074074074074</v>
      </c>
      <c r="K45" s="5">
        <v>43516</v>
      </c>
      <c r="L45" s="4" t="s">
        <v>6</v>
      </c>
      <c r="M45" s="4"/>
      <c r="N45" s="4" t="s">
        <v>450</v>
      </c>
      <c r="O45" s="4" t="s">
        <v>451</v>
      </c>
      <c r="P45" s="4" t="s">
        <v>452</v>
      </c>
      <c r="Q45" s="4" t="s">
        <v>4</v>
      </c>
      <c r="R45" s="4" t="s">
        <v>4</v>
      </c>
      <c r="S45" s="4" t="s">
        <v>10</v>
      </c>
      <c r="T45" s="4"/>
      <c r="U45" s="4"/>
      <c r="V45" s="4"/>
      <c r="W45" s="4" t="s">
        <v>27</v>
      </c>
      <c r="X45" s="17">
        <v>4900</v>
      </c>
      <c r="Y45" s="17">
        <v>4900</v>
      </c>
      <c r="Z45" s="4" t="s">
        <v>454</v>
      </c>
      <c r="AA45" s="4" t="s">
        <v>455</v>
      </c>
      <c r="AB45" s="4" t="s">
        <v>456</v>
      </c>
      <c r="AC45" s="4" t="s">
        <v>457</v>
      </c>
      <c r="AD45" s="4" t="s">
        <v>17</v>
      </c>
      <c r="AE45" s="4" t="s">
        <v>18</v>
      </c>
      <c r="AF45" s="4" t="s">
        <v>19</v>
      </c>
      <c r="AG45" s="4" t="s">
        <v>19</v>
      </c>
      <c r="AH45" s="17">
        <v>26219.332</v>
      </c>
    </row>
    <row r="46" spans="2:34" ht="15">
      <c r="B46" s="1" t="s">
        <v>153</v>
      </c>
      <c r="C46" s="2">
        <v>43515</v>
      </c>
      <c r="D46" s="1" t="s">
        <v>154</v>
      </c>
      <c r="E46" s="1" t="s">
        <v>458</v>
      </c>
      <c r="F46" s="1" t="s">
        <v>3</v>
      </c>
      <c r="G46" s="1" t="s">
        <v>4</v>
      </c>
      <c r="H46" s="1" t="s">
        <v>1277</v>
      </c>
      <c r="I46" s="2">
        <v>43514</v>
      </c>
      <c r="J46" s="3">
        <v>0.5679513888888889</v>
      </c>
      <c r="K46" s="2">
        <v>43516</v>
      </c>
      <c r="L46" s="1" t="s">
        <v>6</v>
      </c>
      <c r="M46" s="1"/>
      <c r="N46" s="1" t="s">
        <v>459</v>
      </c>
      <c r="O46" s="1" t="s">
        <v>460</v>
      </c>
      <c r="P46" s="1" t="s">
        <v>461</v>
      </c>
      <c r="Q46" s="1" t="s">
        <v>4</v>
      </c>
      <c r="R46" s="1" t="s">
        <v>4</v>
      </c>
      <c r="S46" s="1" t="s">
        <v>10</v>
      </c>
      <c r="T46" s="1"/>
      <c r="U46" s="1"/>
      <c r="V46" s="1"/>
      <c r="W46" s="1" t="s">
        <v>27</v>
      </c>
      <c r="X46" s="16">
        <v>4500</v>
      </c>
      <c r="Y46" s="16">
        <v>4500</v>
      </c>
      <c r="Z46" s="1" t="s">
        <v>462</v>
      </c>
      <c r="AA46" s="1" t="s">
        <v>463</v>
      </c>
      <c r="AB46" s="1" t="s">
        <v>464</v>
      </c>
      <c r="AC46" s="1" t="s">
        <v>465</v>
      </c>
      <c r="AD46" s="1" t="s">
        <v>17</v>
      </c>
      <c r="AE46" s="1" t="s">
        <v>18</v>
      </c>
      <c r="AF46" s="1" t="s">
        <v>19</v>
      </c>
      <c r="AG46" s="1" t="s">
        <v>19</v>
      </c>
      <c r="AH46" s="16">
        <v>25837.57</v>
      </c>
    </row>
    <row r="47" spans="2:34" ht="15">
      <c r="B47" s="4" t="s">
        <v>153</v>
      </c>
      <c r="C47" s="5">
        <v>43515</v>
      </c>
      <c r="D47" s="4" t="s">
        <v>154</v>
      </c>
      <c r="E47" s="4" t="s">
        <v>466</v>
      </c>
      <c r="F47" s="4" t="s">
        <v>3</v>
      </c>
      <c r="G47" s="4" t="s">
        <v>4</v>
      </c>
      <c r="H47" s="4" t="s">
        <v>119</v>
      </c>
      <c r="I47" s="5">
        <v>43514</v>
      </c>
      <c r="J47" s="6">
        <v>0.46565972222222224</v>
      </c>
      <c r="K47" s="5">
        <v>43516</v>
      </c>
      <c r="L47" s="4" t="s">
        <v>6</v>
      </c>
      <c r="M47" s="4"/>
      <c r="N47" s="4" t="s">
        <v>467</v>
      </c>
      <c r="O47" s="4" t="s">
        <v>468</v>
      </c>
      <c r="P47" s="4" t="s">
        <v>469</v>
      </c>
      <c r="Q47" s="4" t="s">
        <v>4</v>
      </c>
      <c r="R47" s="4" t="s">
        <v>4</v>
      </c>
      <c r="S47" s="4" t="s">
        <v>10</v>
      </c>
      <c r="T47" s="4"/>
      <c r="U47" s="4"/>
      <c r="V47" s="4"/>
      <c r="W47" s="4" t="s">
        <v>27</v>
      </c>
      <c r="X47" s="17">
        <v>3400</v>
      </c>
      <c r="Y47" s="17">
        <v>3400</v>
      </c>
      <c r="Z47" s="4" t="s">
        <v>471</v>
      </c>
      <c r="AA47" s="4" t="s">
        <v>472</v>
      </c>
      <c r="AB47" s="4" t="s">
        <v>473</v>
      </c>
      <c r="AC47" s="4" t="s">
        <v>474</v>
      </c>
      <c r="AD47" s="4" t="s">
        <v>17</v>
      </c>
      <c r="AE47" s="4" t="s">
        <v>18</v>
      </c>
      <c r="AF47" s="4" t="s">
        <v>19</v>
      </c>
      <c r="AG47" s="4" t="s">
        <v>19</v>
      </c>
      <c r="AH47" s="17">
        <v>19998.916</v>
      </c>
    </row>
    <row r="48" spans="2:34" ht="15">
      <c r="B48" s="1" t="s">
        <v>153</v>
      </c>
      <c r="C48" s="2">
        <v>43515</v>
      </c>
      <c r="D48" s="1" t="s">
        <v>154</v>
      </c>
      <c r="E48" s="1" t="s">
        <v>475</v>
      </c>
      <c r="F48" s="1" t="s">
        <v>3</v>
      </c>
      <c r="G48" s="1" t="s">
        <v>4</v>
      </c>
      <c r="H48" s="1" t="s">
        <v>1277</v>
      </c>
      <c r="I48" s="2">
        <v>43514</v>
      </c>
      <c r="J48" s="3">
        <v>0.46185185185185185</v>
      </c>
      <c r="K48" s="2">
        <v>43516</v>
      </c>
      <c r="L48" s="1" t="s">
        <v>6</v>
      </c>
      <c r="M48" s="1"/>
      <c r="N48" s="1" t="s">
        <v>316</v>
      </c>
      <c r="O48" s="1" t="s">
        <v>317</v>
      </c>
      <c r="P48" s="1" t="s">
        <v>476</v>
      </c>
      <c r="Q48" s="1" t="s">
        <v>4</v>
      </c>
      <c r="R48" s="1" t="s">
        <v>4</v>
      </c>
      <c r="S48" s="1" t="s">
        <v>10</v>
      </c>
      <c r="T48" s="1"/>
      <c r="U48" s="1"/>
      <c r="V48" s="1"/>
      <c r="W48" s="1" t="s">
        <v>27</v>
      </c>
      <c r="X48" s="16">
        <v>16300</v>
      </c>
      <c r="Y48" s="16">
        <v>16300</v>
      </c>
      <c r="Z48" s="1" t="s">
        <v>478</v>
      </c>
      <c r="AA48" s="1" t="s">
        <v>479</v>
      </c>
      <c r="AB48" s="1" t="s">
        <v>480</v>
      </c>
      <c r="AC48" s="1" t="s">
        <v>481</v>
      </c>
      <c r="AD48" s="1" t="s">
        <v>17</v>
      </c>
      <c r="AE48" s="1" t="s">
        <v>482</v>
      </c>
      <c r="AF48" s="1" t="s">
        <v>19</v>
      </c>
      <c r="AG48" s="1" t="s">
        <v>19</v>
      </c>
      <c r="AH48" s="16">
        <v>22980.74</v>
      </c>
    </row>
    <row r="49" spans="2:34" ht="15">
      <c r="B49" s="4" t="s">
        <v>153</v>
      </c>
      <c r="C49" s="5">
        <v>43515</v>
      </c>
      <c r="D49" s="4" t="s">
        <v>154</v>
      </c>
      <c r="E49" s="4" t="s">
        <v>483</v>
      </c>
      <c r="F49" s="4" t="s">
        <v>3</v>
      </c>
      <c r="G49" s="4" t="s">
        <v>4</v>
      </c>
      <c r="H49" s="4" t="s">
        <v>109</v>
      </c>
      <c r="I49" s="5">
        <v>43514</v>
      </c>
      <c r="J49" s="6">
        <v>0.6788773148148148</v>
      </c>
      <c r="K49" s="5">
        <v>43516</v>
      </c>
      <c r="L49" s="4" t="s">
        <v>6</v>
      </c>
      <c r="M49" s="4"/>
      <c r="N49" s="4" t="s">
        <v>145</v>
      </c>
      <c r="O49" s="4" t="s">
        <v>146</v>
      </c>
      <c r="P49" s="4" t="s">
        <v>436</v>
      </c>
      <c r="Q49" s="4"/>
      <c r="R49" s="4"/>
      <c r="S49" s="4"/>
      <c r="T49" s="4"/>
      <c r="U49" s="4"/>
      <c r="V49" s="4"/>
      <c r="W49" s="4" t="s">
        <v>27</v>
      </c>
      <c r="X49" s="17">
        <v>23941</v>
      </c>
      <c r="Y49" s="17">
        <v>23941</v>
      </c>
      <c r="Z49" s="4" t="s">
        <v>438</v>
      </c>
      <c r="AA49" s="4" t="s">
        <v>485</v>
      </c>
      <c r="AB49" s="4" t="s">
        <v>486</v>
      </c>
      <c r="AC49" s="4" t="s">
        <v>487</v>
      </c>
      <c r="AD49" s="4" t="s">
        <v>17</v>
      </c>
      <c r="AE49" s="4" t="s">
        <v>18</v>
      </c>
      <c r="AF49" s="4" t="s">
        <v>19</v>
      </c>
      <c r="AG49" s="4" t="s">
        <v>19</v>
      </c>
      <c r="AH49" s="17">
        <v>73030.97718</v>
      </c>
    </row>
    <row r="50" spans="2:34" ht="15">
      <c r="B50" s="1" t="s">
        <v>20</v>
      </c>
      <c r="C50" s="2">
        <v>43516</v>
      </c>
      <c r="D50" s="1" t="s">
        <v>21</v>
      </c>
      <c r="E50" s="1" t="s">
        <v>488</v>
      </c>
      <c r="F50" s="1" t="s">
        <v>3</v>
      </c>
      <c r="G50" s="1" t="s">
        <v>4</v>
      </c>
      <c r="H50" s="1" t="s">
        <v>109</v>
      </c>
      <c r="I50" s="2">
        <v>43515</v>
      </c>
      <c r="J50" s="3">
        <v>0.48061342592592593</v>
      </c>
      <c r="K50" s="2">
        <v>43517</v>
      </c>
      <c r="L50" s="1" t="s">
        <v>6</v>
      </c>
      <c r="M50" s="1"/>
      <c r="N50" s="1" t="s">
        <v>145</v>
      </c>
      <c r="O50" s="1" t="s">
        <v>146</v>
      </c>
      <c r="P50" s="1" t="s">
        <v>147</v>
      </c>
      <c r="Q50" s="1" t="s">
        <v>4</v>
      </c>
      <c r="R50" s="1" t="s">
        <v>4</v>
      </c>
      <c r="S50" s="1" t="s">
        <v>10</v>
      </c>
      <c r="T50" s="1"/>
      <c r="U50" s="1"/>
      <c r="V50" s="1"/>
      <c r="W50" s="1" t="s">
        <v>27</v>
      </c>
      <c r="X50" s="16">
        <v>105341</v>
      </c>
      <c r="Y50" s="16">
        <v>105341</v>
      </c>
      <c r="Z50" s="1" t="s">
        <v>149</v>
      </c>
      <c r="AA50" s="1" t="s">
        <v>490</v>
      </c>
      <c r="AB50" s="1" t="s">
        <v>491</v>
      </c>
      <c r="AC50" s="1" t="s">
        <v>492</v>
      </c>
      <c r="AD50" s="1" t="s">
        <v>17</v>
      </c>
      <c r="AE50" s="1" t="s">
        <v>18</v>
      </c>
      <c r="AF50" s="1" t="s">
        <v>19</v>
      </c>
      <c r="AG50" s="1" t="s">
        <v>19</v>
      </c>
      <c r="AH50" s="16">
        <v>321933.6301</v>
      </c>
    </row>
    <row r="51" spans="2:34" ht="15">
      <c r="B51" s="1" t="s">
        <v>20</v>
      </c>
      <c r="C51" s="2">
        <v>43516</v>
      </c>
      <c r="D51" s="1" t="s">
        <v>21</v>
      </c>
      <c r="E51" s="1" t="s">
        <v>100</v>
      </c>
      <c r="F51" s="1" t="s">
        <v>3</v>
      </c>
      <c r="G51" s="1" t="s">
        <v>4</v>
      </c>
      <c r="H51" s="1" t="s">
        <v>90</v>
      </c>
      <c r="I51" s="2">
        <v>43515</v>
      </c>
      <c r="J51" s="3">
        <v>0.3333333333333333</v>
      </c>
      <c r="K51" s="2">
        <v>43516</v>
      </c>
      <c r="L51" s="1" t="s">
        <v>6</v>
      </c>
      <c r="M51" s="1"/>
      <c r="N51" s="1" t="s">
        <v>91</v>
      </c>
      <c r="O51" s="1" t="s">
        <v>92</v>
      </c>
      <c r="P51" s="1" t="s">
        <v>93</v>
      </c>
      <c r="Q51" s="1" t="s">
        <v>4</v>
      </c>
      <c r="R51" s="1" t="s">
        <v>85</v>
      </c>
      <c r="S51" s="1" t="s">
        <v>4</v>
      </c>
      <c r="T51" s="1"/>
      <c r="U51" s="1"/>
      <c r="V51" s="1"/>
      <c r="W51" s="1" t="s">
        <v>27</v>
      </c>
      <c r="X51" s="16">
        <v>3721235</v>
      </c>
      <c r="Y51" s="16">
        <v>3721235</v>
      </c>
      <c r="Z51" s="1" t="s">
        <v>95</v>
      </c>
      <c r="AA51" s="1" t="s">
        <v>96</v>
      </c>
      <c r="AB51" s="1" t="s">
        <v>96</v>
      </c>
      <c r="AC51" s="1" t="s">
        <v>17</v>
      </c>
      <c r="AD51" s="1" t="s">
        <v>17</v>
      </c>
      <c r="AE51" s="1" t="s">
        <v>17</v>
      </c>
      <c r="AF51" s="1" t="s">
        <v>19</v>
      </c>
      <c r="AG51" s="1" t="s">
        <v>19</v>
      </c>
      <c r="AH51" s="16">
        <v>558185.25</v>
      </c>
    </row>
    <row r="52" spans="2:34" ht="15">
      <c r="B52" s="1" t="s">
        <v>20</v>
      </c>
      <c r="C52" s="2">
        <v>43516</v>
      </c>
      <c r="D52" s="1" t="s">
        <v>21</v>
      </c>
      <c r="E52" s="1" t="s">
        <v>494</v>
      </c>
      <c r="F52" s="1" t="s">
        <v>3</v>
      </c>
      <c r="G52" s="1" t="s">
        <v>4</v>
      </c>
      <c r="H52" s="1" t="s">
        <v>109</v>
      </c>
      <c r="I52" s="2">
        <v>43514</v>
      </c>
      <c r="J52" s="3">
        <v>0.6788773148148148</v>
      </c>
      <c r="K52" s="2">
        <v>43516</v>
      </c>
      <c r="L52" s="1" t="s">
        <v>6</v>
      </c>
      <c r="M52" s="1"/>
      <c r="N52" s="1" t="s">
        <v>145</v>
      </c>
      <c r="O52" s="1" t="s">
        <v>146</v>
      </c>
      <c r="P52" s="1" t="s">
        <v>436</v>
      </c>
      <c r="Q52" s="1" t="s">
        <v>4</v>
      </c>
      <c r="R52" s="1" t="s">
        <v>4</v>
      </c>
      <c r="S52" s="1" t="s">
        <v>10</v>
      </c>
      <c r="T52" s="1"/>
      <c r="U52" s="1"/>
      <c r="V52" s="1"/>
      <c r="W52" s="1" t="s">
        <v>27</v>
      </c>
      <c r="X52" s="16">
        <v>23941</v>
      </c>
      <c r="Y52" s="16">
        <v>23941</v>
      </c>
      <c r="Z52" s="1" t="s">
        <v>438</v>
      </c>
      <c r="AA52" s="1" t="s">
        <v>485</v>
      </c>
      <c r="AB52" s="1" t="s">
        <v>486</v>
      </c>
      <c r="AC52" s="1" t="s">
        <v>487</v>
      </c>
      <c r="AD52" s="1" t="s">
        <v>17</v>
      </c>
      <c r="AE52" s="1" t="s">
        <v>18</v>
      </c>
      <c r="AF52" s="1" t="s">
        <v>19</v>
      </c>
      <c r="AG52" s="1" t="s">
        <v>19</v>
      </c>
      <c r="AH52" s="16">
        <v>73030.97718</v>
      </c>
    </row>
    <row r="53" spans="2:34" ht="15">
      <c r="B53" s="1" t="s">
        <v>0</v>
      </c>
      <c r="C53" s="2">
        <v>43516</v>
      </c>
      <c r="D53" s="1" t="s">
        <v>1</v>
      </c>
      <c r="E53" s="1" t="s">
        <v>101</v>
      </c>
      <c r="F53" s="1" t="s">
        <v>3</v>
      </c>
      <c r="G53" s="1" t="s">
        <v>4</v>
      </c>
      <c r="H53" s="1" t="s">
        <v>90</v>
      </c>
      <c r="I53" s="2">
        <v>43515</v>
      </c>
      <c r="J53" s="3">
        <v>0.3333333333333333</v>
      </c>
      <c r="K53" s="2">
        <v>43516</v>
      </c>
      <c r="L53" s="1" t="s">
        <v>6</v>
      </c>
      <c r="M53" s="1"/>
      <c r="N53" s="1" t="s">
        <v>91</v>
      </c>
      <c r="O53" s="1" t="s">
        <v>92</v>
      </c>
      <c r="P53" s="1" t="s">
        <v>93</v>
      </c>
      <c r="Q53" s="1" t="s">
        <v>4</v>
      </c>
      <c r="R53" s="1" t="s">
        <v>85</v>
      </c>
      <c r="S53" s="1" t="s">
        <v>4</v>
      </c>
      <c r="T53" s="1"/>
      <c r="U53" s="1"/>
      <c r="V53" s="1"/>
      <c r="W53" s="1" t="s">
        <v>27</v>
      </c>
      <c r="X53" s="16">
        <v>744248</v>
      </c>
      <c r="Y53" s="16">
        <v>744248</v>
      </c>
      <c r="Z53" s="1" t="s">
        <v>95</v>
      </c>
      <c r="AA53" s="1" t="s">
        <v>99</v>
      </c>
      <c r="AB53" s="1" t="s">
        <v>99</v>
      </c>
      <c r="AC53" s="1" t="s">
        <v>17</v>
      </c>
      <c r="AD53" s="1" t="s">
        <v>17</v>
      </c>
      <c r="AE53" s="1" t="s">
        <v>17</v>
      </c>
      <c r="AF53" s="1" t="s">
        <v>19</v>
      </c>
      <c r="AG53" s="1" t="s">
        <v>19</v>
      </c>
      <c r="AH53" s="16">
        <v>111637.2</v>
      </c>
    </row>
    <row r="54" spans="2:34" ht="15">
      <c r="B54" s="4" t="s">
        <v>153</v>
      </c>
      <c r="C54" s="5">
        <v>43516</v>
      </c>
      <c r="D54" s="4" t="s">
        <v>154</v>
      </c>
      <c r="E54" s="4" t="s">
        <v>495</v>
      </c>
      <c r="F54" s="4" t="s">
        <v>3</v>
      </c>
      <c r="G54" s="4" t="s">
        <v>4</v>
      </c>
      <c r="H54" s="4" t="s">
        <v>109</v>
      </c>
      <c r="I54" s="5">
        <v>43515</v>
      </c>
      <c r="J54" s="6">
        <v>0.4805787037037037</v>
      </c>
      <c r="K54" s="5">
        <v>43517</v>
      </c>
      <c r="L54" s="4" t="s">
        <v>6</v>
      </c>
      <c r="M54" s="4"/>
      <c r="N54" s="4" t="s">
        <v>145</v>
      </c>
      <c r="O54" s="4" t="s">
        <v>146</v>
      </c>
      <c r="P54" s="4" t="s">
        <v>147</v>
      </c>
      <c r="Q54" s="4" t="s">
        <v>4</v>
      </c>
      <c r="R54" s="4" t="s">
        <v>4</v>
      </c>
      <c r="S54" s="4" t="s">
        <v>10</v>
      </c>
      <c r="T54" s="4"/>
      <c r="U54" s="4"/>
      <c r="V54" s="4"/>
      <c r="W54" s="4" t="s">
        <v>27</v>
      </c>
      <c r="X54" s="17">
        <v>4659</v>
      </c>
      <c r="Y54" s="17">
        <v>4659</v>
      </c>
      <c r="Z54" s="4" t="s">
        <v>149</v>
      </c>
      <c r="AA54" s="4" t="s">
        <v>497</v>
      </c>
      <c r="AB54" s="4" t="s">
        <v>498</v>
      </c>
      <c r="AC54" s="4" t="s">
        <v>499</v>
      </c>
      <c r="AD54" s="4" t="s">
        <v>17</v>
      </c>
      <c r="AE54" s="4" t="s">
        <v>18</v>
      </c>
      <c r="AF54" s="4" t="s">
        <v>19</v>
      </c>
      <c r="AG54" s="4" t="s">
        <v>19</v>
      </c>
      <c r="AH54" s="17">
        <v>14239.3699</v>
      </c>
    </row>
    <row r="55" spans="2:34" ht="15">
      <c r="B55" s="1" t="s">
        <v>153</v>
      </c>
      <c r="C55" s="2">
        <v>43516</v>
      </c>
      <c r="D55" s="1" t="s">
        <v>154</v>
      </c>
      <c r="E55" s="1" t="s">
        <v>500</v>
      </c>
      <c r="F55" s="1" t="s">
        <v>3</v>
      </c>
      <c r="G55" s="1" t="s">
        <v>4</v>
      </c>
      <c r="H55" s="1" t="s">
        <v>119</v>
      </c>
      <c r="I55" s="2">
        <v>43515</v>
      </c>
      <c r="J55" s="3">
        <v>0.47346064814814814</v>
      </c>
      <c r="K55" s="2">
        <v>43517</v>
      </c>
      <c r="L55" s="1" t="s">
        <v>6</v>
      </c>
      <c r="M55" s="1"/>
      <c r="N55" s="1" t="s">
        <v>443</v>
      </c>
      <c r="O55" s="1" t="s">
        <v>308</v>
      </c>
      <c r="P55" s="1" t="s">
        <v>444</v>
      </c>
      <c r="Q55" s="1" t="s">
        <v>4</v>
      </c>
      <c r="R55" s="1" t="s">
        <v>4</v>
      </c>
      <c r="S55" s="1" t="s">
        <v>10</v>
      </c>
      <c r="T55" s="1"/>
      <c r="U55" s="1"/>
      <c r="V55" s="1"/>
      <c r="W55" s="1" t="s">
        <v>27</v>
      </c>
      <c r="X55" s="16">
        <v>8052</v>
      </c>
      <c r="Y55" s="16">
        <v>8052</v>
      </c>
      <c r="Z55" s="1" t="s">
        <v>169</v>
      </c>
      <c r="AA55" s="1" t="s">
        <v>502</v>
      </c>
      <c r="AB55" s="1" t="s">
        <v>503</v>
      </c>
      <c r="AC55" s="1" t="s">
        <v>504</v>
      </c>
      <c r="AD55" s="1" t="s">
        <v>17</v>
      </c>
      <c r="AE55" s="1" t="s">
        <v>18</v>
      </c>
      <c r="AF55" s="1" t="s">
        <v>19</v>
      </c>
      <c r="AG55" s="1" t="s">
        <v>19</v>
      </c>
      <c r="AH55" s="16">
        <v>18638.32024</v>
      </c>
    </row>
    <row r="56" spans="2:34" ht="15">
      <c r="B56" s="1" t="s">
        <v>153</v>
      </c>
      <c r="C56" s="2">
        <v>43516</v>
      </c>
      <c r="D56" s="1" t="s">
        <v>154</v>
      </c>
      <c r="E56" s="1" t="s">
        <v>506</v>
      </c>
      <c r="F56" s="1" t="s">
        <v>3</v>
      </c>
      <c r="G56" s="1" t="s">
        <v>4</v>
      </c>
      <c r="H56" s="1" t="s">
        <v>109</v>
      </c>
      <c r="I56" s="2">
        <v>43514</v>
      </c>
      <c r="J56" s="3">
        <v>0.6788773148148148</v>
      </c>
      <c r="K56" s="2">
        <v>43516</v>
      </c>
      <c r="L56" s="1" t="s">
        <v>6</v>
      </c>
      <c r="M56" s="1"/>
      <c r="N56" s="1" t="s">
        <v>145</v>
      </c>
      <c r="O56" s="1" t="s">
        <v>146</v>
      </c>
      <c r="P56" s="1" t="s">
        <v>436</v>
      </c>
      <c r="Q56" s="1" t="s">
        <v>4</v>
      </c>
      <c r="R56" s="1" t="s">
        <v>4</v>
      </c>
      <c r="S56" s="1" t="s">
        <v>10</v>
      </c>
      <c r="T56" s="1"/>
      <c r="U56" s="1"/>
      <c r="V56" s="1"/>
      <c r="W56" s="1" t="s">
        <v>27</v>
      </c>
      <c r="X56" s="16">
        <v>1059</v>
      </c>
      <c r="Y56" s="16">
        <v>1059</v>
      </c>
      <c r="Z56" s="1" t="s">
        <v>438</v>
      </c>
      <c r="AA56" s="1" t="s">
        <v>439</v>
      </c>
      <c r="AB56" s="1" t="s">
        <v>493</v>
      </c>
      <c r="AC56" s="1" t="s">
        <v>441</v>
      </c>
      <c r="AD56" s="1" t="s">
        <v>17</v>
      </c>
      <c r="AE56" s="1" t="s">
        <v>17</v>
      </c>
      <c r="AF56" s="1" t="s">
        <v>19</v>
      </c>
      <c r="AG56" s="1" t="s">
        <v>19</v>
      </c>
      <c r="AH56" s="16">
        <v>3230.389116</v>
      </c>
    </row>
    <row r="57" spans="2:34" ht="15">
      <c r="B57" s="4" t="s">
        <v>20</v>
      </c>
      <c r="C57" s="5">
        <v>43517</v>
      </c>
      <c r="D57" s="4" t="s">
        <v>21</v>
      </c>
      <c r="E57" s="4" t="s">
        <v>507</v>
      </c>
      <c r="F57" s="4" t="s">
        <v>3</v>
      </c>
      <c r="G57" s="4" t="s">
        <v>4</v>
      </c>
      <c r="H57" s="4" t="s">
        <v>109</v>
      </c>
      <c r="I57" s="5">
        <v>43516</v>
      </c>
      <c r="J57" s="6">
        <v>0.65625</v>
      </c>
      <c r="K57" s="5">
        <v>43518</v>
      </c>
      <c r="L57" s="4" t="s">
        <v>6</v>
      </c>
      <c r="M57" s="4"/>
      <c r="N57" s="4" t="s">
        <v>508</v>
      </c>
      <c r="O57" s="4" t="s">
        <v>509</v>
      </c>
      <c r="P57" s="4" t="s">
        <v>510</v>
      </c>
      <c r="Q57" s="4" t="s">
        <v>4</v>
      </c>
      <c r="R57" s="4" t="s">
        <v>4</v>
      </c>
      <c r="S57" s="4" t="s">
        <v>10</v>
      </c>
      <c r="T57" s="4"/>
      <c r="U57" s="4"/>
      <c r="V57" s="4"/>
      <c r="W57" s="4" t="s">
        <v>27</v>
      </c>
      <c r="X57" s="17">
        <v>750000</v>
      </c>
      <c r="Y57" s="17">
        <v>750000</v>
      </c>
      <c r="Z57" s="4" t="s">
        <v>512</v>
      </c>
      <c r="AA57" s="4" t="s">
        <v>513</v>
      </c>
      <c r="AB57" s="4" t="s">
        <v>514</v>
      </c>
      <c r="AC57" s="4" t="s">
        <v>329</v>
      </c>
      <c r="AD57" s="4" t="s">
        <v>17</v>
      </c>
      <c r="AE57" s="4" t="s">
        <v>18</v>
      </c>
      <c r="AF57" s="4" t="s">
        <v>19</v>
      </c>
      <c r="AG57" s="4" t="s">
        <v>19</v>
      </c>
      <c r="AH57" s="17">
        <v>1653301</v>
      </c>
    </row>
    <row r="58" spans="2:34" ht="15">
      <c r="B58" s="1" t="s">
        <v>20</v>
      </c>
      <c r="C58" s="2">
        <v>43517</v>
      </c>
      <c r="D58" s="1" t="s">
        <v>21</v>
      </c>
      <c r="E58" s="1" t="s">
        <v>515</v>
      </c>
      <c r="F58" s="1" t="s">
        <v>3</v>
      </c>
      <c r="G58" s="1" t="s">
        <v>4</v>
      </c>
      <c r="H58" s="1" t="s">
        <v>109</v>
      </c>
      <c r="I58" s="2">
        <v>43516</v>
      </c>
      <c r="J58" s="3">
        <v>0.5314236111111111</v>
      </c>
      <c r="K58" s="2">
        <v>43518</v>
      </c>
      <c r="L58" s="1" t="s">
        <v>6</v>
      </c>
      <c r="M58" s="1"/>
      <c r="N58" s="1" t="s">
        <v>145</v>
      </c>
      <c r="O58" s="1" t="s">
        <v>146</v>
      </c>
      <c r="P58" s="1" t="s">
        <v>436</v>
      </c>
      <c r="Q58" s="1" t="s">
        <v>4</v>
      </c>
      <c r="R58" s="1" t="s">
        <v>4</v>
      </c>
      <c r="S58" s="1" t="s">
        <v>10</v>
      </c>
      <c r="T58" s="1"/>
      <c r="U58" s="1"/>
      <c r="V58" s="1"/>
      <c r="W58" s="1" t="s">
        <v>27</v>
      </c>
      <c r="X58" s="16">
        <v>47882</v>
      </c>
      <c r="Y58" s="16">
        <v>47882</v>
      </c>
      <c r="Z58" s="1" t="s">
        <v>517</v>
      </c>
      <c r="AA58" s="1" t="s">
        <v>518</v>
      </c>
      <c r="AB58" s="1" t="s">
        <v>519</v>
      </c>
      <c r="AC58" s="1" t="s">
        <v>520</v>
      </c>
      <c r="AD58" s="1" t="s">
        <v>17</v>
      </c>
      <c r="AE58" s="1" t="s">
        <v>18</v>
      </c>
      <c r="AF58" s="1" t="s">
        <v>19</v>
      </c>
      <c r="AG58" s="1" t="s">
        <v>19</v>
      </c>
      <c r="AH58" s="16">
        <v>143454.5144</v>
      </c>
    </row>
    <row r="59" spans="2:34" ht="15">
      <c r="B59" s="4" t="s">
        <v>153</v>
      </c>
      <c r="C59" s="5">
        <v>43517</v>
      </c>
      <c r="D59" s="4" t="s">
        <v>154</v>
      </c>
      <c r="E59" s="4" t="s">
        <v>521</v>
      </c>
      <c r="F59" s="4" t="s">
        <v>3</v>
      </c>
      <c r="G59" s="4" t="s">
        <v>4</v>
      </c>
      <c r="H59" s="4" t="s">
        <v>109</v>
      </c>
      <c r="I59" s="5">
        <v>43516</v>
      </c>
      <c r="J59" s="6">
        <v>0.5314236111111111</v>
      </c>
      <c r="K59" s="5">
        <v>43518</v>
      </c>
      <c r="L59" s="4" t="s">
        <v>6</v>
      </c>
      <c r="M59" s="4"/>
      <c r="N59" s="4" t="s">
        <v>145</v>
      </c>
      <c r="O59" s="4" t="s">
        <v>146</v>
      </c>
      <c r="P59" s="4" t="s">
        <v>436</v>
      </c>
      <c r="Q59" s="4" t="s">
        <v>4</v>
      </c>
      <c r="R59" s="4" t="s">
        <v>4</v>
      </c>
      <c r="S59" s="4" t="s">
        <v>10</v>
      </c>
      <c r="T59" s="4"/>
      <c r="U59" s="4"/>
      <c r="V59" s="4"/>
      <c r="W59" s="4" t="s">
        <v>27</v>
      </c>
      <c r="X59" s="17">
        <v>2118</v>
      </c>
      <c r="Y59" s="17">
        <v>2118</v>
      </c>
      <c r="Z59" s="4" t="s">
        <v>517</v>
      </c>
      <c r="AA59" s="4" t="s">
        <v>523</v>
      </c>
      <c r="AB59" s="4" t="s">
        <v>524</v>
      </c>
      <c r="AC59" s="4" t="s">
        <v>525</v>
      </c>
      <c r="AD59" s="4" t="s">
        <v>17</v>
      </c>
      <c r="AE59" s="4" t="s">
        <v>17</v>
      </c>
      <c r="AF59" s="4" t="s">
        <v>19</v>
      </c>
      <c r="AG59" s="4" t="s">
        <v>19</v>
      </c>
      <c r="AH59" s="17">
        <v>6345.48564</v>
      </c>
    </row>
    <row r="60" spans="2:34" ht="15">
      <c r="B60" s="1" t="s">
        <v>20</v>
      </c>
      <c r="C60" s="2">
        <v>43518</v>
      </c>
      <c r="D60" s="1" t="s">
        <v>21</v>
      </c>
      <c r="E60" s="1" t="s">
        <v>526</v>
      </c>
      <c r="F60" s="1" t="s">
        <v>3</v>
      </c>
      <c r="G60" s="1" t="s">
        <v>4</v>
      </c>
      <c r="H60" s="1" t="s">
        <v>109</v>
      </c>
      <c r="I60" s="2">
        <v>43517</v>
      </c>
      <c r="J60" s="3">
        <v>0.491087962962963</v>
      </c>
      <c r="K60" s="2">
        <v>43521</v>
      </c>
      <c r="L60" s="1" t="s">
        <v>6</v>
      </c>
      <c r="M60" s="1"/>
      <c r="N60" s="1" t="s">
        <v>145</v>
      </c>
      <c r="O60" s="1" t="s">
        <v>146</v>
      </c>
      <c r="P60" s="1" t="s">
        <v>436</v>
      </c>
      <c r="Q60" s="1" t="s">
        <v>4</v>
      </c>
      <c r="R60" s="1" t="s">
        <v>4</v>
      </c>
      <c r="S60" s="1" t="s">
        <v>10</v>
      </c>
      <c r="T60" s="1"/>
      <c r="U60" s="1"/>
      <c r="V60" s="1"/>
      <c r="W60" s="1" t="s">
        <v>27</v>
      </c>
      <c r="X60" s="16">
        <v>82836</v>
      </c>
      <c r="Y60" s="16">
        <v>82836</v>
      </c>
      <c r="Z60" s="1" t="s">
        <v>528</v>
      </c>
      <c r="AA60" s="1" t="s">
        <v>529</v>
      </c>
      <c r="AB60" s="1" t="s">
        <v>530</v>
      </c>
      <c r="AC60" s="1" t="s">
        <v>531</v>
      </c>
      <c r="AD60" s="1" t="s">
        <v>17</v>
      </c>
      <c r="AE60" s="1" t="s">
        <v>18</v>
      </c>
      <c r="AF60" s="1" t="s">
        <v>19</v>
      </c>
      <c r="AG60" s="1" t="s">
        <v>19</v>
      </c>
      <c r="AH60" s="16">
        <v>246930.9842</v>
      </c>
    </row>
    <row r="61" spans="2:34" ht="15">
      <c r="B61" s="4" t="s">
        <v>153</v>
      </c>
      <c r="C61" s="5">
        <v>43518</v>
      </c>
      <c r="D61" s="4" t="s">
        <v>154</v>
      </c>
      <c r="E61" s="4" t="s">
        <v>532</v>
      </c>
      <c r="F61" s="4" t="s">
        <v>3</v>
      </c>
      <c r="G61" s="4" t="s">
        <v>4</v>
      </c>
      <c r="H61" s="4" t="s">
        <v>109</v>
      </c>
      <c r="I61" s="5">
        <v>43517</v>
      </c>
      <c r="J61" s="6">
        <v>0.491087962962963</v>
      </c>
      <c r="K61" s="5">
        <v>43521</v>
      </c>
      <c r="L61" s="4" t="s">
        <v>6</v>
      </c>
      <c r="M61" s="4"/>
      <c r="N61" s="4" t="s">
        <v>145</v>
      </c>
      <c r="O61" s="4" t="s">
        <v>146</v>
      </c>
      <c r="P61" s="4" t="s">
        <v>436</v>
      </c>
      <c r="Q61" s="4" t="s">
        <v>4</v>
      </c>
      <c r="R61" s="4" t="s">
        <v>4</v>
      </c>
      <c r="S61" s="4" t="s">
        <v>10</v>
      </c>
      <c r="T61" s="4"/>
      <c r="U61" s="4"/>
      <c r="V61" s="4"/>
      <c r="W61" s="4" t="s">
        <v>27</v>
      </c>
      <c r="X61" s="17">
        <v>3664</v>
      </c>
      <c r="Y61" s="17">
        <v>3664</v>
      </c>
      <c r="Z61" s="4" t="s">
        <v>528</v>
      </c>
      <c r="AA61" s="4" t="s">
        <v>534</v>
      </c>
      <c r="AB61" s="4" t="s">
        <v>535</v>
      </c>
      <c r="AC61" s="4" t="s">
        <v>536</v>
      </c>
      <c r="AD61" s="4" t="s">
        <v>17</v>
      </c>
      <c r="AE61" s="4" t="s">
        <v>18</v>
      </c>
      <c r="AF61" s="4" t="s">
        <v>19</v>
      </c>
      <c r="AG61" s="4" t="s">
        <v>19</v>
      </c>
      <c r="AH61" s="17">
        <v>10923.2008</v>
      </c>
    </row>
    <row r="62" spans="2:34" ht="15">
      <c r="B62" s="4" t="s">
        <v>20</v>
      </c>
      <c r="C62" s="5">
        <v>43521</v>
      </c>
      <c r="D62" s="4" t="s">
        <v>21</v>
      </c>
      <c r="E62" s="4" t="s">
        <v>102</v>
      </c>
      <c r="F62" s="4" t="s">
        <v>3</v>
      </c>
      <c r="G62" s="4" t="s">
        <v>4</v>
      </c>
      <c r="H62" s="4" t="s">
        <v>1366</v>
      </c>
      <c r="I62" s="5">
        <v>43515</v>
      </c>
      <c r="J62" s="6">
        <v>0.3333333333333333</v>
      </c>
      <c r="K62" s="5">
        <v>43521</v>
      </c>
      <c r="L62" s="4" t="s">
        <v>6</v>
      </c>
      <c r="M62" s="4"/>
      <c r="N62" s="4" t="s">
        <v>82</v>
      </c>
      <c r="O62" s="4" t="s">
        <v>83</v>
      </c>
      <c r="P62" s="4" t="s">
        <v>84</v>
      </c>
      <c r="Q62" s="4" t="s">
        <v>4</v>
      </c>
      <c r="R62" s="4" t="s">
        <v>85</v>
      </c>
      <c r="S62" s="4" t="s">
        <v>4</v>
      </c>
      <c r="T62" s="4"/>
      <c r="U62" s="4"/>
      <c r="V62" s="4"/>
      <c r="W62" s="4" t="s">
        <v>27</v>
      </c>
      <c r="X62" s="17">
        <v>5620386</v>
      </c>
      <c r="Y62" s="17">
        <v>5620386</v>
      </c>
      <c r="Z62" s="4" t="s">
        <v>87</v>
      </c>
      <c r="AA62" s="4" t="s">
        <v>88</v>
      </c>
      <c r="AB62" s="4" t="s">
        <v>88</v>
      </c>
      <c r="AC62" s="4" t="s">
        <v>17</v>
      </c>
      <c r="AD62" s="4" t="s">
        <v>17</v>
      </c>
      <c r="AE62" s="4" t="s">
        <v>17</v>
      </c>
      <c r="AF62" s="4" t="s">
        <v>19</v>
      </c>
      <c r="AG62" s="4" t="s">
        <v>19</v>
      </c>
      <c r="AH62" s="17">
        <v>2135746.68</v>
      </c>
    </row>
    <row r="63" spans="2:34" ht="15">
      <c r="B63" s="1" t="s">
        <v>20</v>
      </c>
      <c r="C63" s="2">
        <v>43528</v>
      </c>
      <c r="D63" s="1" t="s">
        <v>21</v>
      </c>
      <c r="E63" s="1" t="s">
        <v>537</v>
      </c>
      <c r="F63" s="1" t="s">
        <v>3</v>
      </c>
      <c r="G63" s="1" t="s">
        <v>4</v>
      </c>
      <c r="H63" s="1" t="s">
        <v>183</v>
      </c>
      <c r="I63" s="2">
        <v>43525</v>
      </c>
      <c r="J63" s="3">
        <v>0.5558680555555555</v>
      </c>
      <c r="K63" s="2">
        <v>43529</v>
      </c>
      <c r="L63" s="1" t="s">
        <v>6</v>
      </c>
      <c r="M63" s="1"/>
      <c r="N63" s="1" t="s">
        <v>538</v>
      </c>
      <c r="O63" s="1" t="s">
        <v>539</v>
      </c>
      <c r="P63" s="1" t="s">
        <v>540</v>
      </c>
      <c r="Q63" s="1" t="s">
        <v>4</v>
      </c>
      <c r="R63" s="1" t="s">
        <v>4</v>
      </c>
      <c r="S63" s="1" t="s">
        <v>10</v>
      </c>
      <c r="T63" s="1"/>
      <c r="U63" s="1"/>
      <c r="V63" s="1"/>
      <c r="W63" s="1" t="s">
        <v>11</v>
      </c>
      <c r="X63" s="16">
        <v>300000</v>
      </c>
      <c r="Y63" s="16">
        <v>300000</v>
      </c>
      <c r="Z63" s="1" t="s">
        <v>542</v>
      </c>
      <c r="AA63" s="1" t="s">
        <v>543</v>
      </c>
      <c r="AB63" s="1" t="s">
        <v>544</v>
      </c>
      <c r="AC63" s="1" t="s">
        <v>545</v>
      </c>
      <c r="AD63" s="1" t="s">
        <v>17</v>
      </c>
      <c r="AE63" s="1" t="s">
        <v>18</v>
      </c>
      <c r="AF63" s="1" t="s">
        <v>19</v>
      </c>
      <c r="AG63" s="1" t="s">
        <v>19</v>
      </c>
      <c r="AH63" s="16">
        <v>35028.8</v>
      </c>
    </row>
    <row r="64" spans="2:34" ht="15">
      <c r="B64" s="4" t="s">
        <v>0</v>
      </c>
      <c r="C64" s="5">
        <v>43528</v>
      </c>
      <c r="D64" s="4" t="s">
        <v>1</v>
      </c>
      <c r="E64" s="4" t="s">
        <v>546</v>
      </c>
      <c r="F64" s="4" t="s">
        <v>3</v>
      </c>
      <c r="G64" s="4" t="s">
        <v>4</v>
      </c>
      <c r="H64" s="4" t="s">
        <v>547</v>
      </c>
      <c r="I64" s="5">
        <v>43525</v>
      </c>
      <c r="J64" s="6">
        <v>0.45902777777777776</v>
      </c>
      <c r="K64" s="5">
        <v>43529</v>
      </c>
      <c r="L64" s="4" t="s">
        <v>6</v>
      </c>
      <c r="M64" s="4"/>
      <c r="N64" s="4" t="s">
        <v>39</v>
      </c>
      <c r="O64" s="4" t="s">
        <v>40</v>
      </c>
      <c r="P64" s="4" t="s">
        <v>41</v>
      </c>
      <c r="Q64" s="4" t="s">
        <v>4</v>
      </c>
      <c r="R64" s="4" t="s">
        <v>4</v>
      </c>
      <c r="S64" s="4" t="s">
        <v>10</v>
      </c>
      <c r="T64" s="4"/>
      <c r="U64" s="4"/>
      <c r="V64" s="4"/>
      <c r="W64" s="4" t="s">
        <v>27</v>
      </c>
      <c r="X64" s="17">
        <v>11399</v>
      </c>
      <c r="Y64" s="17">
        <v>11399</v>
      </c>
      <c r="Z64" s="4" t="s">
        <v>549</v>
      </c>
      <c r="AA64" s="4" t="s">
        <v>550</v>
      </c>
      <c r="AB64" s="4" t="s">
        <v>551</v>
      </c>
      <c r="AC64" s="4" t="s">
        <v>552</v>
      </c>
      <c r="AD64" s="4" t="s">
        <v>17</v>
      </c>
      <c r="AE64" s="4" t="s">
        <v>18</v>
      </c>
      <c r="AF64" s="4" t="s">
        <v>19</v>
      </c>
      <c r="AG64" s="4" t="s">
        <v>19</v>
      </c>
      <c r="AH64" s="17">
        <v>12222.32386</v>
      </c>
    </row>
    <row r="65" spans="2:34" ht="15">
      <c r="B65" s="1" t="s">
        <v>0</v>
      </c>
      <c r="C65" s="2">
        <v>43528</v>
      </c>
      <c r="D65" s="1" t="s">
        <v>1</v>
      </c>
      <c r="E65" s="1" t="s">
        <v>553</v>
      </c>
      <c r="F65" s="1" t="s">
        <v>3</v>
      </c>
      <c r="G65" s="1" t="s">
        <v>4</v>
      </c>
      <c r="H65" s="1" t="s">
        <v>23</v>
      </c>
      <c r="I65" s="2">
        <v>43525</v>
      </c>
      <c r="J65" s="3">
        <v>0.4748611111111111</v>
      </c>
      <c r="K65" s="2">
        <v>43529</v>
      </c>
      <c r="L65" s="1" t="s">
        <v>6</v>
      </c>
      <c r="M65" s="1"/>
      <c r="N65" s="1" t="s">
        <v>554</v>
      </c>
      <c r="O65" s="1" t="s">
        <v>555</v>
      </c>
      <c r="P65" s="1" t="s">
        <v>556</v>
      </c>
      <c r="Q65" s="1" t="s">
        <v>4</v>
      </c>
      <c r="R65" s="1" t="s">
        <v>4</v>
      </c>
      <c r="S65" s="1" t="s">
        <v>10</v>
      </c>
      <c r="T65" s="1"/>
      <c r="U65" s="1"/>
      <c r="V65" s="1"/>
      <c r="W65" s="1" t="s">
        <v>27</v>
      </c>
      <c r="X65" s="16">
        <v>325000</v>
      </c>
      <c r="Y65" s="16">
        <v>325000</v>
      </c>
      <c r="Z65" s="1" t="s">
        <v>558</v>
      </c>
      <c r="AA65" s="1" t="s">
        <v>559</v>
      </c>
      <c r="AB65" s="1" t="s">
        <v>560</v>
      </c>
      <c r="AC65" s="1" t="s">
        <v>561</v>
      </c>
      <c r="AD65" s="1" t="s">
        <v>17</v>
      </c>
      <c r="AE65" s="1" t="s">
        <v>18</v>
      </c>
      <c r="AF65" s="1" t="s">
        <v>19</v>
      </c>
      <c r="AG65" s="1" t="s">
        <v>19</v>
      </c>
      <c r="AH65" s="16">
        <v>130261</v>
      </c>
    </row>
    <row r="66" spans="2:34" ht="15">
      <c r="B66" s="4" t="s">
        <v>153</v>
      </c>
      <c r="C66" s="5">
        <v>43528</v>
      </c>
      <c r="D66" s="4" t="s">
        <v>154</v>
      </c>
      <c r="E66" s="4" t="s">
        <v>562</v>
      </c>
      <c r="F66" s="4" t="s">
        <v>3</v>
      </c>
      <c r="G66" s="4" t="s">
        <v>4</v>
      </c>
      <c r="H66" s="4" t="s">
        <v>547</v>
      </c>
      <c r="I66" s="5">
        <v>43525</v>
      </c>
      <c r="J66" s="6">
        <v>0.45902777777777776</v>
      </c>
      <c r="K66" s="5">
        <v>43529</v>
      </c>
      <c r="L66" s="4" t="s">
        <v>6</v>
      </c>
      <c r="M66" s="4"/>
      <c r="N66" s="4" t="s">
        <v>39</v>
      </c>
      <c r="O66" s="4" t="s">
        <v>40</v>
      </c>
      <c r="P66" s="4" t="s">
        <v>41</v>
      </c>
      <c r="Q66" s="4" t="s">
        <v>4</v>
      </c>
      <c r="R66" s="4" t="s">
        <v>4</v>
      </c>
      <c r="S66" s="4" t="s">
        <v>10</v>
      </c>
      <c r="T66" s="4"/>
      <c r="U66" s="4"/>
      <c r="V66" s="4"/>
      <c r="W66" s="4" t="s">
        <v>27</v>
      </c>
      <c r="X66" s="17">
        <v>321</v>
      </c>
      <c r="Y66" s="17">
        <v>321</v>
      </c>
      <c r="Z66" s="4" t="s">
        <v>549</v>
      </c>
      <c r="AA66" s="4" t="s">
        <v>564</v>
      </c>
      <c r="AB66" s="4" t="s">
        <v>565</v>
      </c>
      <c r="AC66" s="4" t="s">
        <v>566</v>
      </c>
      <c r="AD66" s="4" t="s">
        <v>17</v>
      </c>
      <c r="AE66" s="4" t="s">
        <v>17</v>
      </c>
      <c r="AF66" s="4" t="s">
        <v>19</v>
      </c>
      <c r="AG66" s="4" t="s">
        <v>19</v>
      </c>
      <c r="AH66" s="17">
        <v>344.15694</v>
      </c>
    </row>
    <row r="67" spans="2:34" ht="15">
      <c r="B67" s="4" t="s">
        <v>20</v>
      </c>
      <c r="C67" s="5">
        <v>43529</v>
      </c>
      <c r="D67" s="4" t="s">
        <v>21</v>
      </c>
      <c r="E67" s="4" t="s">
        <v>567</v>
      </c>
      <c r="F67" s="4" t="s">
        <v>3</v>
      </c>
      <c r="G67" s="4" t="s">
        <v>4</v>
      </c>
      <c r="H67" s="4" t="s">
        <v>104</v>
      </c>
      <c r="I67" s="5">
        <v>43524</v>
      </c>
      <c r="J67" s="6">
        <v>0.375</v>
      </c>
      <c r="K67" s="5">
        <v>43529</v>
      </c>
      <c r="L67" s="4" t="s">
        <v>6</v>
      </c>
      <c r="M67" s="4"/>
      <c r="N67" s="4" t="s">
        <v>568</v>
      </c>
      <c r="O67" s="4" t="s">
        <v>105</v>
      </c>
      <c r="P67" s="4" t="s">
        <v>106</v>
      </c>
      <c r="Q67" s="4" t="s">
        <v>4</v>
      </c>
      <c r="R67" s="4" t="s">
        <v>85</v>
      </c>
      <c r="S67" s="4" t="s">
        <v>4</v>
      </c>
      <c r="T67" s="4"/>
      <c r="U67" s="4"/>
      <c r="V67" s="4"/>
      <c r="W67" s="4" t="s">
        <v>27</v>
      </c>
      <c r="X67" s="17">
        <v>450000</v>
      </c>
      <c r="Y67" s="17">
        <v>450000</v>
      </c>
      <c r="Z67" s="4" t="s">
        <v>18</v>
      </c>
      <c r="AA67" s="4" t="s">
        <v>107</v>
      </c>
      <c r="AB67" s="4" t="s">
        <v>107</v>
      </c>
      <c r="AC67" s="4" t="s">
        <v>17</v>
      </c>
      <c r="AD67" s="4" t="s">
        <v>17</v>
      </c>
      <c r="AE67" s="4" t="s">
        <v>17</v>
      </c>
      <c r="AF67" s="4" t="s">
        <v>19</v>
      </c>
      <c r="AG67" s="4" t="s">
        <v>19</v>
      </c>
      <c r="AH67" s="17">
        <v>450000</v>
      </c>
    </row>
    <row r="68" spans="2:34" ht="15">
      <c r="B68" s="1" t="s">
        <v>20</v>
      </c>
      <c r="C68" s="2">
        <v>43530</v>
      </c>
      <c r="D68" s="1" t="s">
        <v>21</v>
      </c>
      <c r="E68" s="1" t="s">
        <v>569</v>
      </c>
      <c r="F68" s="1" t="s">
        <v>3</v>
      </c>
      <c r="G68" s="1" t="s">
        <v>4</v>
      </c>
      <c r="H68" s="1" t="s">
        <v>183</v>
      </c>
      <c r="I68" s="2">
        <v>43529</v>
      </c>
      <c r="J68" s="3">
        <v>0.6163541666666666</v>
      </c>
      <c r="K68" s="2">
        <v>43531</v>
      </c>
      <c r="L68" s="1" t="s">
        <v>6</v>
      </c>
      <c r="M68" s="1"/>
      <c r="N68" s="1" t="s">
        <v>538</v>
      </c>
      <c r="O68" s="1" t="s">
        <v>539</v>
      </c>
      <c r="P68" s="1" t="s">
        <v>540</v>
      </c>
      <c r="Q68" s="1" t="s">
        <v>4</v>
      </c>
      <c r="R68" s="1" t="s">
        <v>4</v>
      </c>
      <c r="S68" s="1" t="s">
        <v>10</v>
      </c>
      <c r="T68" s="1"/>
      <c r="U68" s="1"/>
      <c r="V68" s="1"/>
      <c r="W68" s="1" t="s">
        <v>11</v>
      </c>
      <c r="X68" s="16">
        <v>1050000</v>
      </c>
      <c r="Y68" s="16">
        <v>1050000</v>
      </c>
      <c r="Z68" s="1" t="s">
        <v>542</v>
      </c>
      <c r="AA68" s="1" t="s">
        <v>571</v>
      </c>
      <c r="AB68" s="1" t="s">
        <v>572</v>
      </c>
      <c r="AC68" s="1" t="s">
        <v>573</v>
      </c>
      <c r="AD68" s="1" t="s">
        <v>17</v>
      </c>
      <c r="AE68" s="1" t="s">
        <v>18</v>
      </c>
      <c r="AF68" s="1" t="s">
        <v>19</v>
      </c>
      <c r="AG68" s="1" t="s">
        <v>19</v>
      </c>
      <c r="AH68" s="16">
        <v>122603.3</v>
      </c>
    </row>
    <row r="69" spans="2:34" ht="15">
      <c r="B69" s="4" t="s">
        <v>20</v>
      </c>
      <c r="C69" s="5">
        <v>43530</v>
      </c>
      <c r="D69" s="4" t="s">
        <v>21</v>
      </c>
      <c r="E69" s="4" t="s">
        <v>574</v>
      </c>
      <c r="F69" s="4" t="s">
        <v>3</v>
      </c>
      <c r="G69" s="4" t="s">
        <v>4</v>
      </c>
      <c r="H69" s="4" t="s">
        <v>90</v>
      </c>
      <c r="I69" s="5">
        <v>43529</v>
      </c>
      <c r="J69" s="6">
        <v>0.6943287037037037</v>
      </c>
      <c r="K69" s="5">
        <v>43531</v>
      </c>
      <c r="L69" s="4" t="s">
        <v>6</v>
      </c>
      <c r="M69" s="4"/>
      <c r="N69" s="4" t="s">
        <v>91</v>
      </c>
      <c r="O69" s="4" t="s">
        <v>92</v>
      </c>
      <c r="P69" s="4" t="s">
        <v>575</v>
      </c>
      <c r="Q69" s="4" t="s">
        <v>4</v>
      </c>
      <c r="R69" s="4" t="s">
        <v>4</v>
      </c>
      <c r="S69" s="4" t="s">
        <v>10</v>
      </c>
      <c r="T69" s="4"/>
      <c r="U69" s="4"/>
      <c r="V69" s="4"/>
      <c r="W69" s="4" t="s">
        <v>11</v>
      </c>
      <c r="X69" s="17">
        <v>416667</v>
      </c>
      <c r="Y69" s="17">
        <v>416667</v>
      </c>
      <c r="Z69" s="4" t="s">
        <v>577</v>
      </c>
      <c r="AA69" s="4" t="s">
        <v>578</v>
      </c>
      <c r="AB69" s="4" t="s">
        <v>579</v>
      </c>
      <c r="AC69" s="4" t="s">
        <v>580</v>
      </c>
      <c r="AD69" s="4" t="s">
        <v>17</v>
      </c>
      <c r="AE69" s="4" t="s">
        <v>18</v>
      </c>
      <c r="AF69" s="4" t="s">
        <v>19</v>
      </c>
      <c r="AG69" s="4" t="s">
        <v>19</v>
      </c>
      <c r="AH69" s="17">
        <v>71730.30738</v>
      </c>
    </row>
    <row r="70" spans="2:34" ht="15">
      <c r="B70" s="1" t="s">
        <v>0</v>
      </c>
      <c r="C70" s="2">
        <v>43530</v>
      </c>
      <c r="D70" s="1" t="s">
        <v>1</v>
      </c>
      <c r="E70" s="1" t="s">
        <v>581</v>
      </c>
      <c r="F70" s="1" t="s">
        <v>3</v>
      </c>
      <c r="G70" s="1" t="s">
        <v>4</v>
      </c>
      <c r="H70" s="1" t="s">
        <v>90</v>
      </c>
      <c r="I70" s="2">
        <v>43529</v>
      </c>
      <c r="J70" s="3">
        <v>0.6943287037037037</v>
      </c>
      <c r="K70" s="2">
        <v>43531</v>
      </c>
      <c r="L70" s="1" t="s">
        <v>6</v>
      </c>
      <c r="M70" s="1"/>
      <c r="N70" s="1" t="s">
        <v>91</v>
      </c>
      <c r="O70" s="1" t="s">
        <v>92</v>
      </c>
      <c r="P70" s="1" t="s">
        <v>575</v>
      </c>
      <c r="Q70" s="1" t="s">
        <v>4</v>
      </c>
      <c r="R70" s="1" t="s">
        <v>4</v>
      </c>
      <c r="S70" s="1" t="s">
        <v>10</v>
      </c>
      <c r="T70" s="1"/>
      <c r="U70" s="1"/>
      <c r="V70" s="1"/>
      <c r="W70" s="1" t="s">
        <v>11</v>
      </c>
      <c r="X70" s="16">
        <v>83333</v>
      </c>
      <c r="Y70" s="16">
        <v>83333</v>
      </c>
      <c r="Z70" s="1" t="s">
        <v>577</v>
      </c>
      <c r="AA70" s="1" t="s">
        <v>583</v>
      </c>
      <c r="AB70" s="1" t="s">
        <v>584</v>
      </c>
      <c r="AC70" s="1" t="s">
        <v>585</v>
      </c>
      <c r="AD70" s="1" t="s">
        <v>17</v>
      </c>
      <c r="AE70" s="1" t="s">
        <v>18</v>
      </c>
      <c r="AF70" s="1" t="s">
        <v>19</v>
      </c>
      <c r="AG70" s="1" t="s">
        <v>19</v>
      </c>
      <c r="AH70" s="16">
        <v>14345.19262</v>
      </c>
    </row>
    <row r="71" spans="2:34" ht="15">
      <c r="B71" s="4" t="s">
        <v>20</v>
      </c>
      <c r="C71" s="5">
        <v>43536</v>
      </c>
      <c r="D71" s="4" t="s">
        <v>21</v>
      </c>
      <c r="E71" s="4" t="s">
        <v>586</v>
      </c>
      <c r="F71" s="4" t="s">
        <v>3</v>
      </c>
      <c r="G71" s="4" t="s">
        <v>4</v>
      </c>
      <c r="H71" s="4" t="s">
        <v>119</v>
      </c>
      <c r="I71" s="5">
        <v>43535</v>
      </c>
      <c r="J71" s="6">
        <v>0.5616087962962963</v>
      </c>
      <c r="K71" s="5">
        <v>43536</v>
      </c>
      <c r="L71" s="4" t="s">
        <v>6</v>
      </c>
      <c r="M71" s="4"/>
      <c r="N71" s="4" t="s">
        <v>587</v>
      </c>
      <c r="O71" s="4" t="s">
        <v>588</v>
      </c>
      <c r="P71" s="4" t="s">
        <v>589</v>
      </c>
      <c r="Q71" s="4" t="s">
        <v>4</v>
      </c>
      <c r="R71" s="4" t="s">
        <v>4</v>
      </c>
      <c r="S71" s="4" t="s">
        <v>10</v>
      </c>
      <c r="T71" s="4"/>
      <c r="U71" s="4"/>
      <c r="V71" s="4"/>
      <c r="W71" s="4" t="s">
        <v>11</v>
      </c>
      <c r="X71" s="17">
        <v>2538373</v>
      </c>
      <c r="Y71" s="17">
        <v>2538373</v>
      </c>
      <c r="Z71" s="4" t="s">
        <v>591</v>
      </c>
      <c r="AA71" s="4" t="s">
        <v>592</v>
      </c>
      <c r="AB71" s="4" t="s">
        <v>593</v>
      </c>
      <c r="AC71" s="4" t="s">
        <v>594</v>
      </c>
      <c r="AD71" s="4" t="s">
        <v>17</v>
      </c>
      <c r="AE71" s="4" t="s">
        <v>18</v>
      </c>
      <c r="AF71" s="4" t="s">
        <v>19</v>
      </c>
      <c r="AG71" s="4" t="s">
        <v>19</v>
      </c>
      <c r="AH71" s="17">
        <v>2770791.778</v>
      </c>
    </row>
    <row r="72" spans="2:34" ht="15">
      <c r="B72" s="1" t="s">
        <v>153</v>
      </c>
      <c r="C72" s="2">
        <v>43537</v>
      </c>
      <c r="D72" s="1" t="s">
        <v>154</v>
      </c>
      <c r="E72" s="1" t="s">
        <v>595</v>
      </c>
      <c r="F72" s="1" t="s">
        <v>3</v>
      </c>
      <c r="G72" s="1" t="s">
        <v>4</v>
      </c>
      <c r="H72" s="1" t="s">
        <v>325</v>
      </c>
      <c r="I72" s="2">
        <v>43537</v>
      </c>
      <c r="J72" s="3">
        <v>0.44583333333333336</v>
      </c>
      <c r="K72" s="2">
        <v>43539</v>
      </c>
      <c r="L72" s="1" t="s">
        <v>6</v>
      </c>
      <c r="M72" s="1"/>
      <c r="N72" s="1" t="s">
        <v>596</v>
      </c>
      <c r="O72" s="1" t="s">
        <v>597</v>
      </c>
      <c r="P72" s="1" t="s">
        <v>598</v>
      </c>
      <c r="Q72" s="1" t="s">
        <v>4</v>
      </c>
      <c r="R72" s="1" t="s">
        <v>4</v>
      </c>
      <c r="S72" s="1" t="s">
        <v>10</v>
      </c>
      <c r="T72" s="1"/>
      <c r="U72" s="1"/>
      <c r="V72" s="1"/>
      <c r="W72" s="1" t="s">
        <v>27</v>
      </c>
      <c r="X72" s="16">
        <v>1000</v>
      </c>
      <c r="Y72" s="16">
        <v>1000</v>
      </c>
      <c r="Z72" s="1" t="s">
        <v>600</v>
      </c>
      <c r="AA72" s="1" t="s">
        <v>601</v>
      </c>
      <c r="AB72" s="1" t="s">
        <v>602</v>
      </c>
      <c r="AC72" s="1" t="s">
        <v>603</v>
      </c>
      <c r="AD72" s="1" t="s">
        <v>17</v>
      </c>
      <c r="AE72" s="1" t="s">
        <v>17</v>
      </c>
      <c r="AF72" s="1" t="s">
        <v>19</v>
      </c>
      <c r="AG72" s="1" t="s">
        <v>19</v>
      </c>
      <c r="AH72" s="16">
        <v>8867.7</v>
      </c>
    </row>
    <row r="73" spans="2:34" ht="15">
      <c r="B73" s="4" t="s">
        <v>153</v>
      </c>
      <c r="C73" s="5">
        <v>43538</v>
      </c>
      <c r="D73" s="4" t="s">
        <v>154</v>
      </c>
      <c r="E73" s="4" t="s">
        <v>604</v>
      </c>
      <c r="F73" s="4" t="s">
        <v>3</v>
      </c>
      <c r="G73" s="4" t="s">
        <v>4</v>
      </c>
      <c r="H73" s="4" t="s">
        <v>325</v>
      </c>
      <c r="I73" s="5">
        <v>43537</v>
      </c>
      <c r="J73" s="6">
        <v>0.5590277777777778</v>
      </c>
      <c r="K73" s="5">
        <v>43539</v>
      </c>
      <c r="L73" s="4" t="s">
        <v>6</v>
      </c>
      <c r="M73" s="4"/>
      <c r="N73" s="4" t="s">
        <v>596</v>
      </c>
      <c r="O73" s="4" t="s">
        <v>597</v>
      </c>
      <c r="P73" s="4" t="s">
        <v>598</v>
      </c>
      <c r="Q73" s="4" t="s">
        <v>4</v>
      </c>
      <c r="R73" s="4" t="s">
        <v>4</v>
      </c>
      <c r="S73" s="4" t="s">
        <v>10</v>
      </c>
      <c r="T73" s="4"/>
      <c r="U73" s="4"/>
      <c r="V73" s="4"/>
      <c r="W73" s="4" t="s">
        <v>27</v>
      </c>
      <c r="X73" s="17">
        <v>1000</v>
      </c>
      <c r="Y73" s="17">
        <v>1000</v>
      </c>
      <c r="Z73" s="4" t="s">
        <v>605</v>
      </c>
      <c r="AA73" s="4" t="s">
        <v>606</v>
      </c>
      <c r="AB73" s="4" t="s">
        <v>607</v>
      </c>
      <c r="AC73" s="4" t="s">
        <v>608</v>
      </c>
      <c r="AD73" s="4" t="s">
        <v>17</v>
      </c>
      <c r="AE73" s="4" t="s">
        <v>17</v>
      </c>
      <c r="AF73" s="4" t="s">
        <v>19</v>
      </c>
      <c r="AG73" s="4" t="s">
        <v>19</v>
      </c>
      <c r="AH73" s="17">
        <v>8767.5</v>
      </c>
    </row>
    <row r="74" spans="2:34" ht="15">
      <c r="B74" s="1" t="s">
        <v>153</v>
      </c>
      <c r="C74" s="2">
        <v>43538</v>
      </c>
      <c r="D74" s="1" t="s">
        <v>154</v>
      </c>
      <c r="E74" s="1" t="s">
        <v>609</v>
      </c>
      <c r="F74" s="1" t="s">
        <v>3</v>
      </c>
      <c r="G74" s="1" t="s">
        <v>4</v>
      </c>
      <c r="H74" s="1" t="s">
        <v>325</v>
      </c>
      <c r="I74" s="2">
        <v>43537</v>
      </c>
      <c r="J74" s="3">
        <v>0.5673611111111111</v>
      </c>
      <c r="K74" s="2">
        <v>43539</v>
      </c>
      <c r="L74" s="1" t="s">
        <v>6</v>
      </c>
      <c r="M74" s="1"/>
      <c r="N74" s="1" t="s">
        <v>596</v>
      </c>
      <c r="O74" s="1" t="s">
        <v>597</v>
      </c>
      <c r="P74" s="1" t="s">
        <v>598</v>
      </c>
      <c r="Q74" s="1" t="s">
        <v>4</v>
      </c>
      <c r="R74" s="1" t="s">
        <v>4</v>
      </c>
      <c r="S74" s="1" t="s">
        <v>10</v>
      </c>
      <c r="T74" s="1"/>
      <c r="U74" s="1"/>
      <c r="V74" s="1"/>
      <c r="W74" s="1" t="s">
        <v>27</v>
      </c>
      <c r="X74" s="16">
        <v>800</v>
      </c>
      <c r="Y74" s="16">
        <v>800</v>
      </c>
      <c r="Z74" s="1" t="s">
        <v>605</v>
      </c>
      <c r="AA74" s="1" t="s">
        <v>611</v>
      </c>
      <c r="AB74" s="1" t="s">
        <v>612</v>
      </c>
      <c r="AC74" s="1" t="s">
        <v>613</v>
      </c>
      <c r="AD74" s="1" t="s">
        <v>17</v>
      </c>
      <c r="AE74" s="1" t="s">
        <v>17</v>
      </c>
      <c r="AF74" s="1" t="s">
        <v>19</v>
      </c>
      <c r="AG74" s="1" t="s">
        <v>19</v>
      </c>
      <c r="AH74" s="16">
        <v>7014</v>
      </c>
    </row>
    <row r="75" spans="2:34" ht="15">
      <c r="B75" s="4" t="s">
        <v>20</v>
      </c>
      <c r="C75" s="5">
        <v>43542</v>
      </c>
      <c r="D75" s="4" t="s">
        <v>21</v>
      </c>
      <c r="E75" s="4" t="s">
        <v>614</v>
      </c>
      <c r="F75" s="4" t="s">
        <v>3</v>
      </c>
      <c r="G75" s="4" t="s">
        <v>4</v>
      </c>
      <c r="H75" s="4" t="s">
        <v>90</v>
      </c>
      <c r="I75" s="5">
        <v>43539</v>
      </c>
      <c r="J75" s="6">
        <v>0.6465856481481481</v>
      </c>
      <c r="K75" s="5">
        <v>43543</v>
      </c>
      <c r="L75" s="4" t="s">
        <v>6</v>
      </c>
      <c r="M75" s="4"/>
      <c r="N75" s="4" t="s">
        <v>91</v>
      </c>
      <c r="O75" s="4" t="s">
        <v>92</v>
      </c>
      <c r="P75" s="4" t="s">
        <v>575</v>
      </c>
      <c r="Q75" s="4" t="s">
        <v>4</v>
      </c>
      <c r="R75" s="4" t="s">
        <v>4</v>
      </c>
      <c r="S75" s="4" t="s">
        <v>10</v>
      </c>
      <c r="T75" s="4"/>
      <c r="U75" s="4"/>
      <c r="V75" s="4"/>
      <c r="W75" s="4" t="s">
        <v>11</v>
      </c>
      <c r="X75" s="17">
        <v>293970</v>
      </c>
      <c r="Y75" s="17">
        <v>293970</v>
      </c>
      <c r="Z75" s="4" t="s">
        <v>616</v>
      </c>
      <c r="AA75" s="4" t="s">
        <v>617</v>
      </c>
      <c r="AB75" s="4" t="s">
        <v>618</v>
      </c>
      <c r="AC75" s="4" t="s">
        <v>619</v>
      </c>
      <c r="AD75" s="4" t="s">
        <v>17</v>
      </c>
      <c r="AE75" s="4" t="s">
        <v>18</v>
      </c>
      <c r="AF75" s="4" t="s">
        <v>19</v>
      </c>
      <c r="AG75" s="4" t="s">
        <v>19</v>
      </c>
      <c r="AH75" s="17">
        <v>52294.93896</v>
      </c>
    </row>
    <row r="76" spans="2:34" ht="15">
      <c r="B76" s="4" t="s">
        <v>0</v>
      </c>
      <c r="C76" s="5">
        <v>43542</v>
      </c>
      <c r="D76" s="4" t="s">
        <v>1</v>
      </c>
      <c r="E76" s="4" t="s">
        <v>626</v>
      </c>
      <c r="F76" s="4" t="s">
        <v>3</v>
      </c>
      <c r="G76" s="4" t="s">
        <v>4</v>
      </c>
      <c r="H76" s="4" t="s">
        <v>90</v>
      </c>
      <c r="I76" s="5">
        <v>43539</v>
      </c>
      <c r="J76" s="6">
        <v>0.6465856481481481</v>
      </c>
      <c r="K76" s="5">
        <v>43543</v>
      </c>
      <c r="L76" s="4" t="s">
        <v>6</v>
      </c>
      <c r="M76" s="4"/>
      <c r="N76" s="4" t="s">
        <v>91</v>
      </c>
      <c r="O76" s="4" t="s">
        <v>92</v>
      </c>
      <c r="P76" s="4" t="s">
        <v>575</v>
      </c>
      <c r="Q76" s="4" t="s">
        <v>4</v>
      </c>
      <c r="R76" s="4" t="s">
        <v>4</v>
      </c>
      <c r="S76" s="4" t="s">
        <v>10</v>
      </c>
      <c r="T76" s="4"/>
      <c r="U76" s="4"/>
      <c r="V76" s="4"/>
      <c r="W76" s="4" t="s">
        <v>11</v>
      </c>
      <c r="X76" s="17">
        <v>58794</v>
      </c>
      <c r="Y76" s="17">
        <v>58794</v>
      </c>
      <c r="Z76" s="4" t="s">
        <v>616</v>
      </c>
      <c r="AA76" s="4" t="s">
        <v>628</v>
      </c>
      <c r="AB76" s="4" t="s">
        <v>629</v>
      </c>
      <c r="AC76" s="4" t="s">
        <v>630</v>
      </c>
      <c r="AD76" s="4" t="s">
        <v>17</v>
      </c>
      <c r="AE76" s="4" t="s">
        <v>18</v>
      </c>
      <c r="AF76" s="4" t="s">
        <v>19</v>
      </c>
      <c r="AG76" s="4" t="s">
        <v>19</v>
      </c>
      <c r="AH76" s="17">
        <v>10458.18779</v>
      </c>
    </row>
    <row r="77" spans="2:34" ht="15">
      <c r="B77" s="1" t="s">
        <v>0</v>
      </c>
      <c r="C77" s="2">
        <v>43543</v>
      </c>
      <c r="D77" s="1" t="s">
        <v>1</v>
      </c>
      <c r="E77" s="1" t="s">
        <v>631</v>
      </c>
      <c r="F77" s="1" t="s">
        <v>3</v>
      </c>
      <c r="G77" s="1" t="s">
        <v>4</v>
      </c>
      <c r="H77" s="1" t="s">
        <v>632</v>
      </c>
      <c r="I77" s="2">
        <v>43542</v>
      </c>
      <c r="J77" s="3">
        <v>0.69625</v>
      </c>
      <c r="K77" s="2">
        <v>43544</v>
      </c>
      <c r="L77" s="1" t="s">
        <v>6</v>
      </c>
      <c r="M77" s="1"/>
      <c r="N77" s="1" t="s">
        <v>366</v>
      </c>
      <c r="O77" s="1" t="s">
        <v>367</v>
      </c>
      <c r="P77" s="1" t="s">
        <v>368</v>
      </c>
      <c r="Q77" s="1" t="s">
        <v>4</v>
      </c>
      <c r="R77" s="1" t="s">
        <v>4</v>
      </c>
      <c r="S77" s="1" t="s">
        <v>10</v>
      </c>
      <c r="T77" s="1"/>
      <c r="U77" s="1"/>
      <c r="V77" s="1"/>
      <c r="W77" s="1" t="s">
        <v>11</v>
      </c>
      <c r="X77" s="16">
        <v>219000</v>
      </c>
      <c r="Y77" s="16">
        <v>219000</v>
      </c>
      <c r="Z77" s="1" t="s">
        <v>634</v>
      </c>
      <c r="AA77" s="1" t="s">
        <v>635</v>
      </c>
      <c r="AB77" s="1" t="s">
        <v>636</v>
      </c>
      <c r="AC77" s="1" t="s">
        <v>637</v>
      </c>
      <c r="AD77" s="1" t="s">
        <v>17</v>
      </c>
      <c r="AE77" s="1" t="s">
        <v>18</v>
      </c>
      <c r="AF77" s="1" t="s">
        <v>19</v>
      </c>
      <c r="AG77" s="1" t="s">
        <v>19</v>
      </c>
      <c r="AH77" s="16">
        <v>551050.3658</v>
      </c>
    </row>
    <row r="78" spans="2:34" ht="15">
      <c r="B78" s="4" t="s">
        <v>153</v>
      </c>
      <c r="C78" s="5">
        <v>43543</v>
      </c>
      <c r="D78" s="4" t="s">
        <v>154</v>
      </c>
      <c r="E78" s="4" t="s">
        <v>638</v>
      </c>
      <c r="F78" s="4" t="s">
        <v>3</v>
      </c>
      <c r="G78" s="4" t="s">
        <v>4</v>
      </c>
      <c r="H78" s="4" t="s">
        <v>632</v>
      </c>
      <c r="I78" s="5">
        <v>43542</v>
      </c>
      <c r="J78" s="6">
        <v>0.69625</v>
      </c>
      <c r="K78" s="5">
        <v>43544</v>
      </c>
      <c r="L78" s="4" t="s">
        <v>6</v>
      </c>
      <c r="M78" s="4"/>
      <c r="N78" s="4" t="s">
        <v>366</v>
      </c>
      <c r="O78" s="4" t="s">
        <v>367</v>
      </c>
      <c r="P78" s="4" t="s">
        <v>368</v>
      </c>
      <c r="Q78" s="4" t="s">
        <v>4</v>
      </c>
      <c r="R78" s="4" t="s">
        <v>4</v>
      </c>
      <c r="S78" s="4" t="s">
        <v>10</v>
      </c>
      <c r="T78" s="4"/>
      <c r="U78" s="4"/>
      <c r="V78" s="4"/>
      <c r="W78" s="4" t="s">
        <v>11</v>
      </c>
      <c r="X78" s="17">
        <v>8200</v>
      </c>
      <c r="Y78" s="17">
        <v>8200</v>
      </c>
      <c r="Z78" s="4" t="s">
        <v>634</v>
      </c>
      <c r="AA78" s="4" t="s">
        <v>639</v>
      </c>
      <c r="AB78" s="4" t="s">
        <v>640</v>
      </c>
      <c r="AC78" s="4" t="s">
        <v>641</v>
      </c>
      <c r="AD78" s="4" t="s">
        <v>17</v>
      </c>
      <c r="AE78" s="4" t="s">
        <v>18</v>
      </c>
      <c r="AF78" s="4" t="s">
        <v>19</v>
      </c>
      <c r="AG78" s="4" t="s">
        <v>19</v>
      </c>
      <c r="AH78" s="17">
        <v>20631.97352</v>
      </c>
    </row>
    <row r="79" spans="2:34" ht="15">
      <c r="B79" s="1" t="s">
        <v>20</v>
      </c>
      <c r="C79" s="2">
        <v>43544</v>
      </c>
      <c r="D79" s="1" t="s">
        <v>21</v>
      </c>
      <c r="E79" s="1" t="s">
        <v>642</v>
      </c>
      <c r="F79" s="1" t="s">
        <v>3</v>
      </c>
      <c r="G79" s="1" t="s">
        <v>4</v>
      </c>
      <c r="H79" s="1" t="s">
        <v>183</v>
      </c>
      <c r="I79" s="2">
        <v>43543</v>
      </c>
      <c r="J79" s="3">
        <v>0.6296412037037037</v>
      </c>
      <c r="K79" s="2">
        <v>43545</v>
      </c>
      <c r="L79" s="1" t="s">
        <v>6</v>
      </c>
      <c r="M79" s="1"/>
      <c r="N79" s="1" t="s">
        <v>538</v>
      </c>
      <c r="O79" s="1" t="s">
        <v>539</v>
      </c>
      <c r="P79" s="1" t="s">
        <v>540</v>
      </c>
      <c r="Q79" s="1" t="s">
        <v>4</v>
      </c>
      <c r="R79" s="1" t="s">
        <v>4</v>
      </c>
      <c r="S79" s="1" t="s">
        <v>10</v>
      </c>
      <c r="T79" s="1"/>
      <c r="U79" s="1"/>
      <c r="V79" s="1"/>
      <c r="W79" s="1" t="s">
        <v>11</v>
      </c>
      <c r="X79" s="16">
        <v>2700000</v>
      </c>
      <c r="Y79" s="16">
        <v>2700000</v>
      </c>
      <c r="Z79" s="1" t="s">
        <v>542</v>
      </c>
      <c r="AA79" s="1" t="s">
        <v>644</v>
      </c>
      <c r="AB79" s="1" t="s">
        <v>645</v>
      </c>
      <c r="AC79" s="1" t="s">
        <v>646</v>
      </c>
      <c r="AD79" s="1" t="s">
        <v>17</v>
      </c>
      <c r="AE79" s="1" t="s">
        <v>18</v>
      </c>
      <c r="AF79" s="1" t="s">
        <v>19</v>
      </c>
      <c r="AG79" s="1" t="s">
        <v>19</v>
      </c>
      <c r="AH79" s="16">
        <v>315267.2</v>
      </c>
    </row>
    <row r="80" spans="2:34" ht="15">
      <c r="B80" s="4" t="s">
        <v>0</v>
      </c>
      <c r="C80" s="5">
        <v>43544</v>
      </c>
      <c r="D80" s="4" t="s">
        <v>1</v>
      </c>
      <c r="E80" s="4" t="s">
        <v>647</v>
      </c>
      <c r="F80" s="4" t="s">
        <v>3</v>
      </c>
      <c r="G80" s="4" t="s">
        <v>4</v>
      </c>
      <c r="H80" s="4" t="s">
        <v>23</v>
      </c>
      <c r="I80" s="5">
        <v>43543</v>
      </c>
      <c r="J80" s="6">
        <v>0.529375</v>
      </c>
      <c r="K80" s="5">
        <v>43545</v>
      </c>
      <c r="L80" s="4" t="s">
        <v>6</v>
      </c>
      <c r="M80" s="4"/>
      <c r="N80" s="4" t="s">
        <v>24</v>
      </c>
      <c r="O80" s="4" t="s">
        <v>25</v>
      </c>
      <c r="P80" s="4" t="s">
        <v>648</v>
      </c>
      <c r="Q80" s="4" t="s">
        <v>4</v>
      </c>
      <c r="R80" s="4" t="s">
        <v>4</v>
      </c>
      <c r="S80" s="4" t="s">
        <v>10</v>
      </c>
      <c r="T80" s="4"/>
      <c r="U80" s="4"/>
      <c r="V80" s="4"/>
      <c r="W80" s="4" t="s">
        <v>27</v>
      </c>
      <c r="X80" s="17">
        <v>712000</v>
      </c>
      <c r="Y80" s="17">
        <v>712000</v>
      </c>
      <c r="Z80" s="4" t="s">
        <v>650</v>
      </c>
      <c r="AA80" s="4" t="s">
        <v>651</v>
      </c>
      <c r="AB80" s="4" t="s">
        <v>652</v>
      </c>
      <c r="AC80" s="4" t="s">
        <v>653</v>
      </c>
      <c r="AD80" s="4" t="s">
        <v>17</v>
      </c>
      <c r="AE80" s="4" t="s">
        <v>18</v>
      </c>
      <c r="AF80" s="4" t="s">
        <v>19</v>
      </c>
      <c r="AG80" s="4" t="s">
        <v>19</v>
      </c>
      <c r="AH80" s="17">
        <v>228296.68</v>
      </c>
    </row>
    <row r="81" spans="2:34" ht="15">
      <c r="B81" s="1" t="s">
        <v>0</v>
      </c>
      <c r="C81" s="2">
        <v>43544</v>
      </c>
      <c r="D81" s="1" t="s">
        <v>1</v>
      </c>
      <c r="E81" s="1" t="s">
        <v>654</v>
      </c>
      <c r="F81" s="1" t="s">
        <v>3</v>
      </c>
      <c r="G81" s="1" t="s">
        <v>4</v>
      </c>
      <c r="H81" s="1" t="s">
        <v>325</v>
      </c>
      <c r="I81" s="2">
        <v>43543</v>
      </c>
      <c r="J81" s="3">
        <v>0.6395833333333333</v>
      </c>
      <c r="K81" s="2">
        <v>43545</v>
      </c>
      <c r="L81" s="1" t="s">
        <v>6</v>
      </c>
      <c r="M81" s="1"/>
      <c r="N81" s="1" t="s">
        <v>596</v>
      </c>
      <c r="O81" s="1" t="s">
        <v>597</v>
      </c>
      <c r="P81" s="1" t="s">
        <v>598</v>
      </c>
      <c r="Q81" s="1" t="s">
        <v>4</v>
      </c>
      <c r="R81" s="1" t="s">
        <v>4</v>
      </c>
      <c r="S81" s="1" t="s">
        <v>10</v>
      </c>
      <c r="T81" s="1"/>
      <c r="U81" s="1"/>
      <c r="V81" s="1"/>
      <c r="W81" s="1" t="s">
        <v>27</v>
      </c>
      <c r="X81" s="16">
        <v>45000</v>
      </c>
      <c r="Y81" s="16">
        <v>45000</v>
      </c>
      <c r="Z81" s="1" t="s">
        <v>656</v>
      </c>
      <c r="AA81" s="1" t="s">
        <v>657</v>
      </c>
      <c r="AB81" s="1" t="s">
        <v>658</v>
      </c>
      <c r="AC81" s="1" t="s">
        <v>659</v>
      </c>
      <c r="AD81" s="1" t="s">
        <v>17</v>
      </c>
      <c r="AE81" s="1" t="s">
        <v>18</v>
      </c>
      <c r="AF81" s="1" t="s">
        <v>19</v>
      </c>
      <c r="AG81" s="1" t="s">
        <v>19</v>
      </c>
      <c r="AH81" s="16">
        <v>397694.8</v>
      </c>
    </row>
    <row r="82" spans="2:34" ht="15">
      <c r="B82" s="1" t="s">
        <v>20</v>
      </c>
      <c r="C82" s="2">
        <v>43545</v>
      </c>
      <c r="D82" s="1" t="s">
        <v>21</v>
      </c>
      <c r="E82" s="1" t="s">
        <v>660</v>
      </c>
      <c r="F82" s="1" t="s">
        <v>3</v>
      </c>
      <c r="G82" s="1" t="s">
        <v>4</v>
      </c>
      <c r="H82" s="1" t="s">
        <v>23</v>
      </c>
      <c r="I82" s="2">
        <v>43542</v>
      </c>
      <c r="J82" s="3">
        <v>0.3333333333333333</v>
      </c>
      <c r="K82" s="2">
        <v>43545</v>
      </c>
      <c r="L82" s="1" t="s">
        <v>6</v>
      </c>
      <c r="M82" s="1"/>
      <c r="N82" s="1" t="s">
        <v>661</v>
      </c>
      <c r="O82" s="1" t="s">
        <v>621</v>
      </c>
      <c r="P82" s="1" t="s">
        <v>622</v>
      </c>
      <c r="Q82" s="1" t="s">
        <v>4</v>
      </c>
      <c r="R82" s="1" t="s">
        <v>85</v>
      </c>
      <c r="S82" s="1" t="s">
        <v>4</v>
      </c>
      <c r="T82" s="1"/>
      <c r="U82" s="1"/>
      <c r="V82" s="1"/>
      <c r="W82" s="1" t="s">
        <v>27</v>
      </c>
      <c r="X82" s="16">
        <v>1947500</v>
      </c>
      <c r="Y82" s="16">
        <v>1947500</v>
      </c>
      <c r="Z82" s="1" t="s">
        <v>624</v>
      </c>
      <c r="AA82" s="1" t="s">
        <v>625</v>
      </c>
      <c r="AB82" s="1" t="s">
        <v>625</v>
      </c>
      <c r="AC82" s="1" t="s">
        <v>17</v>
      </c>
      <c r="AD82" s="1" t="s">
        <v>17</v>
      </c>
      <c r="AE82" s="1" t="s">
        <v>17</v>
      </c>
      <c r="AF82" s="1" t="s">
        <v>19</v>
      </c>
      <c r="AG82" s="1" t="s">
        <v>19</v>
      </c>
      <c r="AH82" s="16">
        <v>1480100</v>
      </c>
    </row>
    <row r="83" spans="2:34" ht="15">
      <c r="B83" s="4" t="s">
        <v>0</v>
      </c>
      <c r="C83" s="5">
        <v>43545</v>
      </c>
      <c r="D83" s="4" t="s">
        <v>1</v>
      </c>
      <c r="E83" s="4" t="s">
        <v>662</v>
      </c>
      <c r="F83" s="4" t="s">
        <v>3</v>
      </c>
      <c r="G83" s="4" t="s">
        <v>4</v>
      </c>
      <c r="H83" s="4" t="s">
        <v>119</v>
      </c>
      <c r="I83" s="5">
        <v>43544</v>
      </c>
      <c r="J83" s="6">
        <v>0.48856481481481484</v>
      </c>
      <c r="K83" s="5">
        <v>43546</v>
      </c>
      <c r="L83" s="4" t="s">
        <v>6</v>
      </c>
      <c r="M83" s="4"/>
      <c r="N83" s="4" t="s">
        <v>663</v>
      </c>
      <c r="O83" s="4" t="s">
        <v>664</v>
      </c>
      <c r="P83" s="4" t="s">
        <v>665</v>
      </c>
      <c r="Q83" s="4" t="s">
        <v>4</v>
      </c>
      <c r="R83" s="4" t="s">
        <v>4</v>
      </c>
      <c r="S83" s="4" t="s">
        <v>10</v>
      </c>
      <c r="T83" s="4"/>
      <c r="U83" s="4"/>
      <c r="V83" s="4"/>
      <c r="W83" s="4" t="s">
        <v>27</v>
      </c>
      <c r="X83" s="17">
        <v>5500</v>
      </c>
      <c r="Y83" s="17">
        <v>5500</v>
      </c>
      <c r="Z83" s="4" t="s">
        <v>667</v>
      </c>
      <c r="AA83" s="4" t="s">
        <v>668</v>
      </c>
      <c r="AB83" s="4" t="s">
        <v>669</v>
      </c>
      <c r="AC83" s="4" t="s">
        <v>670</v>
      </c>
      <c r="AD83" s="4" t="s">
        <v>17</v>
      </c>
      <c r="AE83" s="4" t="s">
        <v>671</v>
      </c>
      <c r="AF83" s="4" t="s">
        <v>19</v>
      </c>
      <c r="AG83" s="4" t="s">
        <v>19</v>
      </c>
      <c r="AH83" s="17">
        <v>15896.65</v>
      </c>
    </row>
    <row r="84" spans="2:34" ht="15">
      <c r="B84" s="1" t="s">
        <v>0</v>
      </c>
      <c r="C84" s="2">
        <v>43545</v>
      </c>
      <c r="D84" s="1" t="s">
        <v>1</v>
      </c>
      <c r="E84" s="1" t="s">
        <v>672</v>
      </c>
      <c r="F84" s="1" t="s">
        <v>3</v>
      </c>
      <c r="G84" s="1" t="s">
        <v>4</v>
      </c>
      <c r="H84" s="1" t="s">
        <v>119</v>
      </c>
      <c r="I84" s="2">
        <v>43544</v>
      </c>
      <c r="J84" s="3">
        <v>0.6916203703703704</v>
      </c>
      <c r="K84" s="2">
        <v>43546</v>
      </c>
      <c r="L84" s="1" t="s">
        <v>6</v>
      </c>
      <c r="M84" s="1"/>
      <c r="N84" s="1" t="s">
        <v>663</v>
      </c>
      <c r="O84" s="1" t="s">
        <v>664</v>
      </c>
      <c r="P84" s="1" t="s">
        <v>665</v>
      </c>
      <c r="Q84" s="1" t="s">
        <v>4</v>
      </c>
      <c r="R84" s="1" t="s">
        <v>4</v>
      </c>
      <c r="S84" s="1" t="s">
        <v>10</v>
      </c>
      <c r="T84" s="1"/>
      <c r="U84" s="1"/>
      <c r="V84" s="1"/>
      <c r="W84" s="1" t="s">
        <v>27</v>
      </c>
      <c r="X84" s="16">
        <v>25000</v>
      </c>
      <c r="Y84" s="16">
        <v>25000</v>
      </c>
      <c r="Z84" s="1" t="s">
        <v>673</v>
      </c>
      <c r="AA84" s="1" t="s">
        <v>674</v>
      </c>
      <c r="AB84" s="1" t="s">
        <v>675</v>
      </c>
      <c r="AC84" s="1" t="s">
        <v>676</v>
      </c>
      <c r="AD84" s="1" t="s">
        <v>17</v>
      </c>
      <c r="AE84" s="1" t="s">
        <v>677</v>
      </c>
      <c r="AF84" s="1" t="s">
        <v>19</v>
      </c>
      <c r="AG84" s="1" t="s">
        <v>19</v>
      </c>
      <c r="AH84" s="16">
        <v>72933.7</v>
      </c>
    </row>
    <row r="85" spans="2:34" ht="15">
      <c r="B85" s="4" t="s">
        <v>153</v>
      </c>
      <c r="C85" s="5">
        <v>43545</v>
      </c>
      <c r="D85" s="4" t="s">
        <v>154</v>
      </c>
      <c r="E85" s="4" t="s">
        <v>678</v>
      </c>
      <c r="F85" s="4" t="s">
        <v>3</v>
      </c>
      <c r="G85" s="4" t="s">
        <v>4</v>
      </c>
      <c r="H85" s="4" t="s">
        <v>23</v>
      </c>
      <c r="I85" s="5">
        <v>43544</v>
      </c>
      <c r="J85" s="6">
        <v>0.49416666666666664</v>
      </c>
      <c r="K85" s="5">
        <v>43546</v>
      </c>
      <c r="L85" s="4" t="s">
        <v>6</v>
      </c>
      <c r="M85" s="4"/>
      <c r="N85" s="4" t="s">
        <v>459</v>
      </c>
      <c r="O85" s="4" t="s">
        <v>460</v>
      </c>
      <c r="P85" s="4" t="s">
        <v>461</v>
      </c>
      <c r="Q85" s="4" t="s">
        <v>4</v>
      </c>
      <c r="R85" s="4" t="s">
        <v>4</v>
      </c>
      <c r="S85" s="4" t="s">
        <v>10</v>
      </c>
      <c r="T85" s="4"/>
      <c r="U85" s="4"/>
      <c r="V85" s="4"/>
      <c r="W85" s="4" t="s">
        <v>27</v>
      </c>
      <c r="X85" s="17">
        <v>480</v>
      </c>
      <c r="Y85" s="17">
        <v>480</v>
      </c>
      <c r="Z85" s="4" t="s">
        <v>680</v>
      </c>
      <c r="AA85" s="4" t="s">
        <v>681</v>
      </c>
      <c r="AB85" s="4" t="s">
        <v>682</v>
      </c>
      <c r="AC85" s="4" t="s">
        <v>683</v>
      </c>
      <c r="AD85" s="4" t="s">
        <v>17</v>
      </c>
      <c r="AE85" s="4" t="s">
        <v>17</v>
      </c>
      <c r="AF85" s="4" t="s">
        <v>19</v>
      </c>
      <c r="AG85" s="4" t="s">
        <v>19</v>
      </c>
      <c r="AH85" s="17">
        <v>2654.8992</v>
      </c>
    </row>
    <row r="86" spans="2:34" ht="15">
      <c r="B86" s="1" t="s">
        <v>153</v>
      </c>
      <c r="C86" s="2">
        <v>43545</v>
      </c>
      <c r="D86" s="1" t="s">
        <v>154</v>
      </c>
      <c r="E86" s="1" t="s">
        <v>684</v>
      </c>
      <c r="F86" s="1" t="s">
        <v>3</v>
      </c>
      <c r="G86" s="1" t="s">
        <v>4</v>
      </c>
      <c r="H86" s="1" t="s">
        <v>109</v>
      </c>
      <c r="I86" s="2">
        <v>43544</v>
      </c>
      <c r="J86" s="3">
        <v>0.5152777777777777</v>
      </c>
      <c r="K86" s="2">
        <v>43546</v>
      </c>
      <c r="L86" s="1" t="s">
        <v>6</v>
      </c>
      <c r="M86" s="1"/>
      <c r="N86" s="1" t="s">
        <v>194</v>
      </c>
      <c r="O86" s="1" t="s">
        <v>195</v>
      </c>
      <c r="P86" s="1" t="s">
        <v>196</v>
      </c>
      <c r="Q86" s="1" t="s">
        <v>4</v>
      </c>
      <c r="R86" s="1" t="s">
        <v>4</v>
      </c>
      <c r="S86" s="1" t="s">
        <v>10</v>
      </c>
      <c r="T86" s="1"/>
      <c r="U86" s="1"/>
      <c r="V86" s="1"/>
      <c r="W86" s="1" t="s">
        <v>27</v>
      </c>
      <c r="X86" s="16">
        <v>1150</v>
      </c>
      <c r="Y86" s="16">
        <v>1150</v>
      </c>
      <c r="Z86" s="1" t="s">
        <v>686</v>
      </c>
      <c r="AA86" s="1" t="s">
        <v>687</v>
      </c>
      <c r="AB86" s="1" t="s">
        <v>688</v>
      </c>
      <c r="AC86" s="1" t="s">
        <v>689</v>
      </c>
      <c r="AD86" s="1" t="s">
        <v>17</v>
      </c>
      <c r="AE86" s="1" t="s">
        <v>690</v>
      </c>
      <c r="AF86" s="1" t="s">
        <v>19</v>
      </c>
      <c r="AG86" s="1" t="s">
        <v>19</v>
      </c>
      <c r="AH86" s="16">
        <v>3823.9146</v>
      </c>
    </row>
    <row r="87" spans="2:34" ht="15">
      <c r="B87" s="4" t="s">
        <v>153</v>
      </c>
      <c r="C87" s="5">
        <v>43545</v>
      </c>
      <c r="D87" s="4" t="s">
        <v>154</v>
      </c>
      <c r="E87" s="4" t="s">
        <v>691</v>
      </c>
      <c r="F87" s="4" t="s">
        <v>3</v>
      </c>
      <c r="G87" s="4" t="s">
        <v>4</v>
      </c>
      <c r="H87" s="4" t="s">
        <v>109</v>
      </c>
      <c r="I87" s="5">
        <v>43544</v>
      </c>
      <c r="J87" s="6">
        <v>0.5097222222222222</v>
      </c>
      <c r="K87" s="5">
        <v>43546</v>
      </c>
      <c r="L87" s="4" t="s">
        <v>6</v>
      </c>
      <c r="M87" s="4"/>
      <c r="N87" s="4" t="s">
        <v>232</v>
      </c>
      <c r="O87" s="4" t="s">
        <v>233</v>
      </c>
      <c r="P87" s="4" t="s">
        <v>234</v>
      </c>
      <c r="Q87" s="4" t="s">
        <v>4</v>
      </c>
      <c r="R87" s="4" t="s">
        <v>4</v>
      </c>
      <c r="S87" s="4" t="s">
        <v>10</v>
      </c>
      <c r="T87" s="4"/>
      <c r="U87" s="4"/>
      <c r="V87" s="4"/>
      <c r="W87" s="4" t="s">
        <v>27</v>
      </c>
      <c r="X87" s="17">
        <v>400</v>
      </c>
      <c r="Y87" s="17">
        <v>400</v>
      </c>
      <c r="Z87" s="4" t="s">
        <v>693</v>
      </c>
      <c r="AA87" s="4" t="s">
        <v>694</v>
      </c>
      <c r="AB87" s="4" t="s">
        <v>695</v>
      </c>
      <c r="AC87" s="4" t="s">
        <v>696</v>
      </c>
      <c r="AD87" s="4" t="s">
        <v>17</v>
      </c>
      <c r="AE87" s="4" t="s">
        <v>17</v>
      </c>
      <c r="AF87" s="4" t="s">
        <v>19</v>
      </c>
      <c r="AG87" s="4" t="s">
        <v>19</v>
      </c>
      <c r="AH87" s="17">
        <v>2005.4028</v>
      </c>
    </row>
    <row r="88" spans="2:34" ht="15">
      <c r="B88" s="1" t="s">
        <v>153</v>
      </c>
      <c r="C88" s="2">
        <v>43545</v>
      </c>
      <c r="D88" s="1" t="s">
        <v>154</v>
      </c>
      <c r="E88" s="1" t="s">
        <v>697</v>
      </c>
      <c r="F88" s="1" t="s">
        <v>3</v>
      </c>
      <c r="G88" s="1" t="s">
        <v>4</v>
      </c>
      <c r="H88" s="1" t="s">
        <v>90</v>
      </c>
      <c r="I88" s="2">
        <v>43544</v>
      </c>
      <c r="J88" s="3">
        <v>0.5604629629629629</v>
      </c>
      <c r="K88" s="2">
        <v>43546</v>
      </c>
      <c r="L88" s="1" t="s">
        <v>6</v>
      </c>
      <c r="M88" s="1"/>
      <c r="N88" s="1" t="s">
        <v>391</v>
      </c>
      <c r="O88" s="1" t="s">
        <v>392</v>
      </c>
      <c r="P88" s="1" t="s">
        <v>698</v>
      </c>
      <c r="Q88" s="1" t="s">
        <v>4</v>
      </c>
      <c r="R88" s="1" t="s">
        <v>4</v>
      </c>
      <c r="S88" s="1" t="s">
        <v>10</v>
      </c>
      <c r="T88" s="1"/>
      <c r="U88" s="1"/>
      <c r="V88" s="1"/>
      <c r="W88" s="1" t="s">
        <v>27</v>
      </c>
      <c r="X88" s="16">
        <v>160</v>
      </c>
      <c r="Y88" s="16">
        <v>160</v>
      </c>
      <c r="Z88" s="1" t="s">
        <v>700</v>
      </c>
      <c r="AA88" s="1" t="s">
        <v>701</v>
      </c>
      <c r="AB88" s="1" t="s">
        <v>702</v>
      </c>
      <c r="AC88" s="1" t="s">
        <v>703</v>
      </c>
      <c r="AD88" s="1" t="s">
        <v>17</v>
      </c>
      <c r="AE88" s="1" t="s">
        <v>704</v>
      </c>
      <c r="AF88" s="1" t="s">
        <v>19</v>
      </c>
      <c r="AG88" s="1" t="s">
        <v>19</v>
      </c>
      <c r="AH88" s="16">
        <v>4857.818</v>
      </c>
    </row>
    <row r="89" spans="2:34" ht="15">
      <c r="B89" s="4" t="s">
        <v>153</v>
      </c>
      <c r="C89" s="5">
        <v>43545</v>
      </c>
      <c r="D89" s="4" t="s">
        <v>154</v>
      </c>
      <c r="E89" s="4" t="s">
        <v>705</v>
      </c>
      <c r="F89" s="4" t="s">
        <v>3</v>
      </c>
      <c r="G89" s="4" t="s">
        <v>4</v>
      </c>
      <c r="H89" s="4" t="s">
        <v>90</v>
      </c>
      <c r="I89" s="5">
        <v>43544</v>
      </c>
      <c r="J89" s="6">
        <v>0.5605439814814814</v>
      </c>
      <c r="K89" s="5">
        <v>43546</v>
      </c>
      <c r="L89" s="4" t="s">
        <v>6</v>
      </c>
      <c r="M89" s="4"/>
      <c r="N89" s="4" t="s">
        <v>260</v>
      </c>
      <c r="O89" s="4" t="s">
        <v>261</v>
      </c>
      <c r="P89" s="4" t="s">
        <v>262</v>
      </c>
      <c r="Q89" s="4" t="s">
        <v>4</v>
      </c>
      <c r="R89" s="4" t="s">
        <v>4</v>
      </c>
      <c r="S89" s="4" t="s">
        <v>10</v>
      </c>
      <c r="T89" s="4"/>
      <c r="U89" s="4"/>
      <c r="V89" s="4"/>
      <c r="W89" s="4" t="s">
        <v>27</v>
      </c>
      <c r="X89" s="17">
        <v>1500</v>
      </c>
      <c r="Y89" s="17">
        <v>1500</v>
      </c>
      <c r="Z89" s="4" t="s">
        <v>707</v>
      </c>
      <c r="AA89" s="4" t="s">
        <v>708</v>
      </c>
      <c r="AB89" s="4" t="s">
        <v>709</v>
      </c>
      <c r="AC89" s="4" t="s">
        <v>710</v>
      </c>
      <c r="AD89" s="4" t="s">
        <v>17</v>
      </c>
      <c r="AE89" s="4" t="s">
        <v>17</v>
      </c>
      <c r="AF89" s="4" t="s">
        <v>19</v>
      </c>
      <c r="AG89" s="4" t="s">
        <v>19</v>
      </c>
      <c r="AH89" s="17">
        <v>7274.350161</v>
      </c>
    </row>
    <row r="90" spans="2:34" ht="15">
      <c r="B90" s="1" t="s">
        <v>153</v>
      </c>
      <c r="C90" s="2">
        <v>43545</v>
      </c>
      <c r="D90" s="1" t="s">
        <v>154</v>
      </c>
      <c r="E90" s="1" t="s">
        <v>711</v>
      </c>
      <c r="F90" s="1" t="s">
        <v>3</v>
      </c>
      <c r="G90" s="1" t="s">
        <v>4</v>
      </c>
      <c r="H90" s="1" t="s">
        <v>90</v>
      </c>
      <c r="I90" s="2">
        <v>43544</v>
      </c>
      <c r="J90" s="3">
        <v>0.5604166666666667</v>
      </c>
      <c r="K90" s="2">
        <v>43546</v>
      </c>
      <c r="L90" s="1" t="s">
        <v>6</v>
      </c>
      <c r="M90" s="1"/>
      <c r="N90" s="1" t="s">
        <v>712</v>
      </c>
      <c r="O90" s="1" t="s">
        <v>428</v>
      </c>
      <c r="P90" s="1" t="s">
        <v>713</v>
      </c>
      <c r="Q90" s="1" t="s">
        <v>4</v>
      </c>
      <c r="R90" s="1" t="s">
        <v>4</v>
      </c>
      <c r="S90" s="1" t="s">
        <v>10</v>
      </c>
      <c r="T90" s="1"/>
      <c r="U90" s="1"/>
      <c r="V90" s="1"/>
      <c r="W90" s="1" t="s">
        <v>27</v>
      </c>
      <c r="X90" s="16">
        <v>2000</v>
      </c>
      <c r="Y90" s="16">
        <v>2000</v>
      </c>
      <c r="Z90" s="1" t="s">
        <v>715</v>
      </c>
      <c r="AA90" s="1" t="s">
        <v>716</v>
      </c>
      <c r="AB90" s="1" t="s">
        <v>717</v>
      </c>
      <c r="AC90" s="1" t="s">
        <v>718</v>
      </c>
      <c r="AD90" s="1" t="s">
        <v>17</v>
      </c>
      <c r="AE90" s="1" t="s">
        <v>17</v>
      </c>
      <c r="AF90" s="1" t="s">
        <v>19</v>
      </c>
      <c r="AG90" s="1" t="s">
        <v>19</v>
      </c>
      <c r="AH90" s="16">
        <v>4549.08</v>
      </c>
    </row>
    <row r="91" spans="2:34" ht="15">
      <c r="B91" s="4" t="s">
        <v>153</v>
      </c>
      <c r="C91" s="5">
        <v>43545</v>
      </c>
      <c r="D91" s="4" t="s">
        <v>154</v>
      </c>
      <c r="E91" s="4" t="s">
        <v>719</v>
      </c>
      <c r="F91" s="4" t="s">
        <v>3</v>
      </c>
      <c r="G91" s="4" t="s">
        <v>4</v>
      </c>
      <c r="H91" s="4" t="s">
        <v>90</v>
      </c>
      <c r="I91" s="5">
        <v>43544</v>
      </c>
      <c r="J91" s="6">
        <v>0.5604976851851852</v>
      </c>
      <c r="K91" s="5">
        <v>43546</v>
      </c>
      <c r="L91" s="4" t="s">
        <v>6</v>
      </c>
      <c r="M91" s="4"/>
      <c r="N91" s="4" t="s">
        <v>297</v>
      </c>
      <c r="O91" s="4" t="s">
        <v>298</v>
      </c>
      <c r="P91" s="4" t="s">
        <v>299</v>
      </c>
      <c r="Q91" s="4" t="s">
        <v>4</v>
      </c>
      <c r="R91" s="4" t="s">
        <v>4</v>
      </c>
      <c r="S91" s="4" t="s">
        <v>10</v>
      </c>
      <c r="T91" s="4"/>
      <c r="U91" s="4"/>
      <c r="V91" s="4"/>
      <c r="W91" s="4" t="s">
        <v>27</v>
      </c>
      <c r="X91" s="17">
        <v>600</v>
      </c>
      <c r="Y91" s="17">
        <v>600</v>
      </c>
      <c r="Z91" s="4" t="s">
        <v>721</v>
      </c>
      <c r="AA91" s="4" t="s">
        <v>722</v>
      </c>
      <c r="AB91" s="4" t="s">
        <v>723</v>
      </c>
      <c r="AC91" s="4" t="s">
        <v>724</v>
      </c>
      <c r="AD91" s="4" t="s">
        <v>17</v>
      </c>
      <c r="AE91" s="4" t="s">
        <v>725</v>
      </c>
      <c r="AF91" s="4" t="s">
        <v>19</v>
      </c>
      <c r="AG91" s="4" t="s">
        <v>19</v>
      </c>
      <c r="AH91" s="17">
        <v>8924.124</v>
      </c>
    </row>
    <row r="92" spans="2:34" ht="15">
      <c r="B92" s="1" t="s">
        <v>153</v>
      </c>
      <c r="C92" s="2">
        <v>43545</v>
      </c>
      <c r="D92" s="1" t="s">
        <v>154</v>
      </c>
      <c r="E92" s="1" t="s">
        <v>726</v>
      </c>
      <c r="F92" s="1" t="s">
        <v>3</v>
      </c>
      <c r="G92" s="1" t="s">
        <v>4</v>
      </c>
      <c r="H92" s="1" t="s">
        <v>90</v>
      </c>
      <c r="I92" s="2">
        <v>43544</v>
      </c>
      <c r="J92" s="3">
        <v>0.5603935185185185</v>
      </c>
      <c r="K92" s="2">
        <v>43546</v>
      </c>
      <c r="L92" s="1" t="s">
        <v>6</v>
      </c>
      <c r="M92" s="1"/>
      <c r="N92" s="1" t="s">
        <v>316</v>
      </c>
      <c r="O92" s="1" t="s">
        <v>317</v>
      </c>
      <c r="P92" s="1" t="s">
        <v>318</v>
      </c>
      <c r="Q92" s="1" t="s">
        <v>4</v>
      </c>
      <c r="R92" s="1" t="s">
        <v>4</v>
      </c>
      <c r="S92" s="1" t="s">
        <v>10</v>
      </c>
      <c r="T92" s="1"/>
      <c r="U92" s="1"/>
      <c r="V92" s="1"/>
      <c r="W92" s="1" t="s">
        <v>27</v>
      </c>
      <c r="X92" s="16">
        <v>2150</v>
      </c>
      <c r="Y92" s="16">
        <v>2150</v>
      </c>
      <c r="Z92" s="1" t="s">
        <v>478</v>
      </c>
      <c r="AA92" s="1" t="s">
        <v>728</v>
      </c>
      <c r="AB92" s="1" t="s">
        <v>729</v>
      </c>
      <c r="AC92" s="1" t="s">
        <v>730</v>
      </c>
      <c r="AD92" s="1" t="s">
        <v>17</v>
      </c>
      <c r="AE92" s="1" t="s">
        <v>731</v>
      </c>
      <c r="AF92" s="1" t="s">
        <v>19</v>
      </c>
      <c r="AG92" s="1" t="s">
        <v>19</v>
      </c>
      <c r="AH92" s="16">
        <v>3031.1</v>
      </c>
    </row>
    <row r="93" spans="2:34" ht="15">
      <c r="B93" s="4" t="s">
        <v>153</v>
      </c>
      <c r="C93" s="5">
        <v>43545</v>
      </c>
      <c r="D93" s="4" t="s">
        <v>154</v>
      </c>
      <c r="E93" s="4" t="s">
        <v>732</v>
      </c>
      <c r="F93" s="4" t="s">
        <v>3</v>
      </c>
      <c r="G93" s="4" t="s">
        <v>4</v>
      </c>
      <c r="H93" s="4" t="s">
        <v>119</v>
      </c>
      <c r="I93" s="5">
        <v>43544</v>
      </c>
      <c r="J93" s="6">
        <v>0.5407407407407407</v>
      </c>
      <c r="K93" s="5">
        <v>43546</v>
      </c>
      <c r="L93" s="4" t="s">
        <v>6</v>
      </c>
      <c r="M93" s="4"/>
      <c r="N93" s="4" t="s">
        <v>278</v>
      </c>
      <c r="O93" s="4" t="s">
        <v>279</v>
      </c>
      <c r="P93" s="4" t="s">
        <v>280</v>
      </c>
      <c r="Q93" s="4" t="s">
        <v>4</v>
      </c>
      <c r="R93" s="4" t="s">
        <v>4</v>
      </c>
      <c r="S93" s="4" t="s">
        <v>10</v>
      </c>
      <c r="T93" s="4"/>
      <c r="U93" s="4"/>
      <c r="V93" s="4"/>
      <c r="W93" s="4" t="s">
        <v>27</v>
      </c>
      <c r="X93" s="17">
        <v>2000</v>
      </c>
      <c r="Y93" s="17">
        <v>2000</v>
      </c>
      <c r="Z93" s="4" t="s">
        <v>733</v>
      </c>
      <c r="AA93" s="4" t="s">
        <v>734</v>
      </c>
      <c r="AB93" s="4" t="s">
        <v>735</v>
      </c>
      <c r="AC93" s="4" t="s">
        <v>736</v>
      </c>
      <c r="AD93" s="4" t="s">
        <v>17</v>
      </c>
      <c r="AE93" s="4" t="s">
        <v>737</v>
      </c>
      <c r="AF93" s="4" t="s">
        <v>19</v>
      </c>
      <c r="AG93" s="4" t="s">
        <v>19</v>
      </c>
      <c r="AH93" s="17">
        <v>4769.202</v>
      </c>
    </row>
    <row r="94" spans="2:34" ht="15">
      <c r="B94" s="1" t="s">
        <v>153</v>
      </c>
      <c r="C94" s="2">
        <v>43545</v>
      </c>
      <c r="D94" s="1" t="s">
        <v>154</v>
      </c>
      <c r="E94" s="1" t="s">
        <v>738</v>
      </c>
      <c r="F94" s="1" t="s">
        <v>3</v>
      </c>
      <c r="G94" s="1" t="s">
        <v>4</v>
      </c>
      <c r="H94" s="1" t="s">
        <v>119</v>
      </c>
      <c r="I94" s="2">
        <v>43544</v>
      </c>
      <c r="J94" s="3">
        <v>0.6884490740740741</v>
      </c>
      <c r="K94" s="2">
        <v>43546</v>
      </c>
      <c r="L94" s="1" t="s">
        <v>6</v>
      </c>
      <c r="M94" s="1"/>
      <c r="N94" s="1" t="s">
        <v>467</v>
      </c>
      <c r="O94" s="1" t="s">
        <v>468</v>
      </c>
      <c r="P94" s="1" t="s">
        <v>469</v>
      </c>
      <c r="Q94" s="1" t="s">
        <v>4</v>
      </c>
      <c r="R94" s="1" t="s">
        <v>4</v>
      </c>
      <c r="S94" s="1" t="s">
        <v>10</v>
      </c>
      <c r="T94" s="1"/>
      <c r="U94" s="1"/>
      <c r="V94" s="1"/>
      <c r="W94" s="1" t="s">
        <v>27</v>
      </c>
      <c r="X94" s="16">
        <v>850</v>
      </c>
      <c r="Y94" s="16">
        <v>850</v>
      </c>
      <c r="Z94" s="1" t="s">
        <v>740</v>
      </c>
      <c r="AA94" s="1" t="s">
        <v>741</v>
      </c>
      <c r="AB94" s="1" t="s">
        <v>742</v>
      </c>
      <c r="AC94" s="1" t="s">
        <v>743</v>
      </c>
      <c r="AD94" s="1" t="s">
        <v>17</v>
      </c>
      <c r="AE94" s="1" t="s">
        <v>17</v>
      </c>
      <c r="AF94" s="1" t="s">
        <v>19</v>
      </c>
      <c r="AG94" s="1" t="s">
        <v>19</v>
      </c>
      <c r="AH94" s="16">
        <v>4726.935</v>
      </c>
    </row>
    <row r="95" spans="2:34" ht="15">
      <c r="B95" s="4" t="s">
        <v>153</v>
      </c>
      <c r="C95" s="5">
        <v>43545</v>
      </c>
      <c r="D95" s="4" t="s">
        <v>154</v>
      </c>
      <c r="E95" s="4" t="s">
        <v>744</v>
      </c>
      <c r="F95" s="4" t="s">
        <v>3</v>
      </c>
      <c r="G95" s="4" t="s">
        <v>4</v>
      </c>
      <c r="H95" s="4" t="s">
        <v>119</v>
      </c>
      <c r="I95" s="5">
        <v>43544</v>
      </c>
      <c r="J95" s="6">
        <v>0.48234953703703703</v>
      </c>
      <c r="K95" s="5">
        <v>43546</v>
      </c>
      <c r="L95" s="4" t="s">
        <v>6</v>
      </c>
      <c r="M95" s="4"/>
      <c r="N95" s="4" t="s">
        <v>223</v>
      </c>
      <c r="O95" s="4" t="s">
        <v>224</v>
      </c>
      <c r="P95" s="4" t="s">
        <v>225</v>
      </c>
      <c r="Q95" s="4" t="s">
        <v>4</v>
      </c>
      <c r="R95" s="4" t="s">
        <v>4</v>
      </c>
      <c r="S95" s="4" t="s">
        <v>10</v>
      </c>
      <c r="T95" s="4"/>
      <c r="U95" s="4"/>
      <c r="V95" s="4"/>
      <c r="W95" s="4" t="s">
        <v>27</v>
      </c>
      <c r="X95" s="17">
        <v>2100</v>
      </c>
      <c r="Y95" s="17">
        <v>2100</v>
      </c>
      <c r="Z95" s="4" t="s">
        <v>512</v>
      </c>
      <c r="AA95" s="4" t="s">
        <v>746</v>
      </c>
      <c r="AB95" s="4" t="s">
        <v>747</v>
      </c>
      <c r="AC95" s="4" t="s">
        <v>748</v>
      </c>
      <c r="AD95" s="4" t="s">
        <v>17</v>
      </c>
      <c r="AE95" s="4" t="s">
        <v>749</v>
      </c>
      <c r="AF95" s="4" t="s">
        <v>19</v>
      </c>
      <c r="AG95" s="4" t="s">
        <v>19</v>
      </c>
      <c r="AH95" s="17">
        <v>4652.39</v>
      </c>
    </row>
    <row r="96" spans="2:34" ht="15">
      <c r="B96" s="1" t="s">
        <v>153</v>
      </c>
      <c r="C96" s="2">
        <v>43545</v>
      </c>
      <c r="D96" s="1" t="s">
        <v>154</v>
      </c>
      <c r="E96" s="1" t="s">
        <v>750</v>
      </c>
      <c r="F96" s="1" t="s">
        <v>3</v>
      </c>
      <c r="G96" s="1" t="s">
        <v>4</v>
      </c>
      <c r="H96" s="1" t="s">
        <v>632</v>
      </c>
      <c r="I96" s="2">
        <v>43545</v>
      </c>
      <c r="J96" s="3">
        <v>0.33795138888888887</v>
      </c>
      <c r="K96" s="2">
        <v>43549</v>
      </c>
      <c r="L96" s="1" t="s">
        <v>6</v>
      </c>
      <c r="M96" s="1"/>
      <c r="N96" s="1" t="s">
        <v>165</v>
      </c>
      <c r="O96" s="1" t="s">
        <v>166</v>
      </c>
      <c r="P96" s="1" t="s">
        <v>167</v>
      </c>
      <c r="Q96" s="1" t="s">
        <v>4</v>
      </c>
      <c r="R96" s="1" t="s">
        <v>4</v>
      </c>
      <c r="S96" s="1" t="s">
        <v>10</v>
      </c>
      <c r="T96" s="1"/>
      <c r="U96" s="1"/>
      <c r="V96" s="1"/>
      <c r="W96" s="1" t="s">
        <v>27</v>
      </c>
      <c r="X96" s="16">
        <v>6200</v>
      </c>
      <c r="Y96" s="16">
        <v>6200</v>
      </c>
      <c r="Z96" s="1" t="s">
        <v>752</v>
      </c>
      <c r="AA96" s="1" t="s">
        <v>753</v>
      </c>
      <c r="AB96" s="1" t="s">
        <v>754</v>
      </c>
      <c r="AC96" s="1" t="s">
        <v>755</v>
      </c>
      <c r="AD96" s="1" t="s">
        <v>17</v>
      </c>
      <c r="AE96" s="1" t="s">
        <v>18</v>
      </c>
      <c r="AF96" s="1" t="s">
        <v>19</v>
      </c>
      <c r="AG96" s="1" t="s">
        <v>19</v>
      </c>
      <c r="AH96" s="16">
        <v>14600.14</v>
      </c>
    </row>
    <row r="97" spans="2:34" ht="15">
      <c r="B97" s="4" t="s">
        <v>153</v>
      </c>
      <c r="C97" s="5">
        <v>43545</v>
      </c>
      <c r="D97" s="4" t="s">
        <v>154</v>
      </c>
      <c r="E97" s="4" t="s">
        <v>750</v>
      </c>
      <c r="F97" s="4" t="s">
        <v>3</v>
      </c>
      <c r="G97" s="4" t="s">
        <v>4</v>
      </c>
      <c r="H97" s="4" t="s">
        <v>119</v>
      </c>
      <c r="I97" s="5">
        <v>43544</v>
      </c>
      <c r="J97" s="6">
        <v>0.4862962962962963</v>
      </c>
      <c r="K97" s="5">
        <v>43546</v>
      </c>
      <c r="L97" s="4" t="s">
        <v>6</v>
      </c>
      <c r="M97" s="4"/>
      <c r="N97" s="4" t="s">
        <v>214</v>
      </c>
      <c r="O97" s="4" t="s">
        <v>215</v>
      </c>
      <c r="P97" s="4" t="s">
        <v>216</v>
      </c>
      <c r="Q97" s="4" t="s">
        <v>4</v>
      </c>
      <c r="R97" s="4" t="s">
        <v>4</v>
      </c>
      <c r="S97" s="4" t="s">
        <v>10</v>
      </c>
      <c r="T97" s="4"/>
      <c r="U97" s="4"/>
      <c r="V97" s="4"/>
      <c r="W97" s="4" t="s">
        <v>11</v>
      </c>
      <c r="X97" s="17">
        <v>1800</v>
      </c>
      <c r="Y97" s="17">
        <v>1800</v>
      </c>
      <c r="Z97" s="4" t="s">
        <v>757</v>
      </c>
      <c r="AA97" s="4" t="s">
        <v>758</v>
      </c>
      <c r="AB97" s="4" t="s">
        <v>759</v>
      </c>
      <c r="AC97" s="4" t="s">
        <v>760</v>
      </c>
      <c r="AD97" s="4" t="s">
        <v>17</v>
      </c>
      <c r="AE97" s="4" t="s">
        <v>17</v>
      </c>
      <c r="AF97" s="4" t="s">
        <v>19</v>
      </c>
      <c r="AG97" s="4" t="s">
        <v>19</v>
      </c>
      <c r="AH97" s="17">
        <v>3462.561</v>
      </c>
    </row>
    <row r="98" spans="2:34" ht="15">
      <c r="B98" s="1" t="s">
        <v>153</v>
      </c>
      <c r="C98" s="2">
        <v>43545</v>
      </c>
      <c r="D98" s="1" t="s">
        <v>154</v>
      </c>
      <c r="E98" s="1" t="s">
        <v>761</v>
      </c>
      <c r="F98" s="1" t="s">
        <v>3</v>
      </c>
      <c r="G98" s="1" t="s">
        <v>4</v>
      </c>
      <c r="H98" s="1" t="s">
        <v>119</v>
      </c>
      <c r="I98" s="2">
        <v>43544</v>
      </c>
      <c r="J98" s="3">
        <v>0.4919675925925926</v>
      </c>
      <c r="K98" s="2">
        <v>43546</v>
      </c>
      <c r="L98" s="1" t="s">
        <v>6</v>
      </c>
      <c r="M98" s="1"/>
      <c r="N98" s="1" t="s">
        <v>288</v>
      </c>
      <c r="O98" s="1" t="s">
        <v>289</v>
      </c>
      <c r="P98" s="1" t="s">
        <v>290</v>
      </c>
      <c r="Q98" s="1" t="s">
        <v>4</v>
      </c>
      <c r="R98" s="1" t="s">
        <v>4</v>
      </c>
      <c r="S98" s="1" t="s">
        <v>10</v>
      </c>
      <c r="T98" s="1"/>
      <c r="U98" s="1"/>
      <c r="V98" s="1"/>
      <c r="W98" s="1" t="s">
        <v>11</v>
      </c>
      <c r="X98" s="16">
        <v>1700</v>
      </c>
      <c r="Y98" s="16">
        <v>1700</v>
      </c>
      <c r="Z98" s="1" t="s">
        <v>763</v>
      </c>
      <c r="AA98" s="1" t="s">
        <v>764</v>
      </c>
      <c r="AB98" s="1" t="s">
        <v>765</v>
      </c>
      <c r="AC98" s="1" t="s">
        <v>766</v>
      </c>
      <c r="AD98" s="1" t="s">
        <v>17</v>
      </c>
      <c r="AE98" s="1" t="s">
        <v>17</v>
      </c>
      <c r="AF98" s="1" t="s">
        <v>19</v>
      </c>
      <c r="AG98" s="1" t="s">
        <v>19</v>
      </c>
      <c r="AH98" s="16">
        <v>2824.839</v>
      </c>
    </row>
    <row r="99" spans="2:34" ht="15">
      <c r="B99" s="4" t="s">
        <v>153</v>
      </c>
      <c r="C99" s="5">
        <v>43545</v>
      </c>
      <c r="D99" s="4" t="s">
        <v>154</v>
      </c>
      <c r="E99" s="4" t="s">
        <v>767</v>
      </c>
      <c r="F99" s="4" t="s">
        <v>3</v>
      </c>
      <c r="G99" s="4" t="s">
        <v>4</v>
      </c>
      <c r="H99" s="4" t="s">
        <v>109</v>
      </c>
      <c r="I99" s="5">
        <v>43544</v>
      </c>
      <c r="J99" s="6">
        <v>0.5097222222222222</v>
      </c>
      <c r="K99" s="5">
        <v>43546</v>
      </c>
      <c r="L99" s="4" t="s">
        <v>6</v>
      </c>
      <c r="M99" s="4"/>
      <c r="N99" s="4" t="s">
        <v>241</v>
      </c>
      <c r="O99" s="4" t="s">
        <v>242</v>
      </c>
      <c r="P99" s="4" t="s">
        <v>243</v>
      </c>
      <c r="Q99" s="4" t="s">
        <v>4</v>
      </c>
      <c r="R99" s="4" t="s">
        <v>4</v>
      </c>
      <c r="S99" s="4" t="s">
        <v>10</v>
      </c>
      <c r="T99" s="4"/>
      <c r="U99" s="4"/>
      <c r="V99" s="4"/>
      <c r="W99" s="4" t="s">
        <v>11</v>
      </c>
      <c r="X99" s="17">
        <v>230</v>
      </c>
      <c r="Y99" s="17">
        <v>230</v>
      </c>
      <c r="Z99" s="4" t="s">
        <v>769</v>
      </c>
      <c r="AA99" s="4" t="s">
        <v>770</v>
      </c>
      <c r="AB99" s="4" t="s">
        <v>771</v>
      </c>
      <c r="AC99" s="4" t="s">
        <v>772</v>
      </c>
      <c r="AD99" s="4" t="s">
        <v>17</v>
      </c>
      <c r="AE99" s="4" t="s">
        <v>17</v>
      </c>
      <c r="AF99" s="4" t="s">
        <v>19</v>
      </c>
      <c r="AG99" s="4" t="s">
        <v>19</v>
      </c>
      <c r="AH99" s="17">
        <v>3666.9015</v>
      </c>
    </row>
    <row r="100" spans="2:34" ht="15">
      <c r="B100" s="1" t="s">
        <v>153</v>
      </c>
      <c r="C100" s="2">
        <v>43545</v>
      </c>
      <c r="D100" s="1" t="s">
        <v>154</v>
      </c>
      <c r="E100" s="1" t="s">
        <v>773</v>
      </c>
      <c r="F100" s="1" t="s">
        <v>3</v>
      </c>
      <c r="G100" s="1" t="s">
        <v>4</v>
      </c>
      <c r="H100" s="1" t="s">
        <v>109</v>
      </c>
      <c r="I100" s="2">
        <v>43544</v>
      </c>
      <c r="J100" s="3">
        <v>0.5138888888888888</v>
      </c>
      <c r="K100" s="2">
        <v>43546</v>
      </c>
      <c r="L100" s="1" t="s">
        <v>6</v>
      </c>
      <c r="M100" s="1"/>
      <c r="N100" s="1" t="s">
        <v>156</v>
      </c>
      <c r="O100" s="1" t="s">
        <v>157</v>
      </c>
      <c r="P100" s="1" t="s">
        <v>158</v>
      </c>
      <c r="Q100" s="1" t="s">
        <v>4</v>
      </c>
      <c r="R100" s="1" t="s">
        <v>4</v>
      </c>
      <c r="S100" s="1" t="s">
        <v>10</v>
      </c>
      <c r="T100" s="1"/>
      <c r="U100" s="1"/>
      <c r="V100" s="1"/>
      <c r="W100" s="1" t="s">
        <v>11</v>
      </c>
      <c r="X100" s="16">
        <v>800</v>
      </c>
      <c r="Y100" s="16">
        <v>800</v>
      </c>
      <c r="Z100" s="1" t="s">
        <v>774</v>
      </c>
      <c r="AA100" s="1" t="s">
        <v>775</v>
      </c>
      <c r="AB100" s="1" t="s">
        <v>776</v>
      </c>
      <c r="AC100" s="1" t="s">
        <v>777</v>
      </c>
      <c r="AD100" s="1" t="s">
        <v>17</v>
      </c>
      <c r="AE100" s="1" t="s">
        <v>17</v>
      </c>
      <c r="AF100" s="1" t="s">
        <v>19</v>
      </c>
      <c r="AG100" s="1" t="s">
        <v>19</v>
      </c>
      <c r="AH100" s="16">
        <v>2043.904</v>
      </c>
    </row>
    <row r="101" spans="2:34" ht="15">
      <c r="B101" s="4" t="s">
        <v>153</v>
      </c>
      <c r="C101" s="5">
        <v>43545</v>
      </c>
      <c r="D101" s="4" t="s">
        <v>154</v>
      </c>
      <c r="E101" s="4" t="s">
        <v>778</v>
      </c>
      <c r="F101" s="4" t="s">
        <v>3</v>
      </c>
      <c r="G101" s="4" t="s">
        <v>4</v>
      </c>
      <c r="H101" s="4" t="s">
        <v>109</v>
      </c>
      <c r="I101" s="5">
        <v>43544</v>
      </c>
      <c r="J101" s="6">
        <v>0.5138888888888888</v>
      </c>
      <c r="K101" s="5">
        <v>43546</v>
      </c>
      <c r="L101" s="4" t="s">
        <v>6</v>
      </c>
      <c r="M101" s="4"/>
      <c r="N101" s="4" t="s">
        <v>410</v>
      </c>
      <c r="O101" s="4" t="s">
        <v>411</v>
      </c>
      <c r="P101" s="4" t="s">
        <v>779</v>
      </c>
      <c r="Q101" s="4" t="s">
        <v>4</v>
      </c>
      <c r="R101" s="4" t="s">
        <v>4</v>
      </c>
      <c r="S101" s="4" t="s">
        <v>10</v>
      </c>
      <c r="T101" s="4"/>
      <c r="U101" s="4"/>
      <c r="V101" s="4"/>
      <c r="W101" s="4" t="s">
        <v>11</v>
      </c>
      <c r="X101" s="17">
        <v>900</v>
      </c>
      <c r="Y101" s="17">
        <v>900</v>
      </c>
      <c r="Z101" s="4" t="s">
        <v>781</v>
      </c>
      <c r="AA101" s="4" t="s">
        <v>782</v>
      </c>
      <c r="AB101" s="4" t="s">
        <v>783</v>
      </c>
      <c r="AC101" s="4" t="s">
        <v>784</v>
      </c>
      <c r="AD101" s="4" t="s">
        <v>17</v>
      </c>
      <c r="AE101" s="4" t="s">
        <v>17</v>
      </c>
      <c r="AF101" s="4" t="s">
        <v>19</v>
      </c>
      <c r="AG101" s="4" t="s">
        <v>19</v>
      </c>
      <c r="AH101" s="17">
        <v>2604.78</v>
      </c>
    </row>
    <row r="102" spans="2:34" ht="15">
      <c r="B102" s="1" t="s">
        <v>153</v>
      </c>
      <c r="C102" s="2">
        <v>43545</v>
      </c>
      <c r="D102" s="1" t="s">
        <v>154</v>
      </c>
      <c r="E102" s="1" t="s">
        <v>785</v>
      </c>
      <c r="F102" s="1" t="s">
        <v>3</v>
      </c>
      <c r="G102" s="1" t="s">
        <v>4</v>
      </c>
      <c r="H102" s="1" t="s">
        <v>786</v>
      </c>
      <c r="I102" s="2">
        <v>43544</v>
      </c>
      <c r="J102" s="3">
        <v>0.5173611111111112</v>
      </c>
      <c r="K102" s="2">
        <v>43546</v>
      </c>
      <c r="L102" s="1" t="s">
        <v>6</v>
      </c>
      <c r="M102" s="1"/>
      <c r="N102" s="1" t="s">
        <v>326</v>
      </c>
      <c r="O102" s="1" t="s">
        <v>327</v>
      </c>
      <c r="P102" s="1" t="s">
        <v>328</v>
      </c>
      <c r="Q102" s="1" t="s">
        <v>4</v>
      </c>
      <c r="R102" s="1" t="s">
        <v>4</v>
      </c>
      <c r="S102" s="1" t="s">
        <v>10</v>
      </c>
      <c r="T102" s="1"/>
      <c r="U102" s="1"/>
      <c r="V102" s="1"/>
      <c r="W102" s="1" t="s">
        <v>11</v>
      </c>
      <c r="X102" s="16">
        <v>750</v>
      </c>
      <c r="Y102" s="16">
        <v>750</v>
      </c>
      <c r="Z102" s="1" t="s">
        <v>788</v>
      </c>
      <c r="AA102" s="1" t="s">
        <v>789</v>
      </c>
      <c r="AB102" s="1" t="s">
        <v>790</v>
      </c>
      <c r="AC102" s="1" t="s">
        <v>791</v>
      </c>
      <c r="AD102" s="1" t="s">
        <v>17</v>
      </c>
      <c r="AE102" s="1" t="s">
        <v>17</v>
      </c>
      <c r="AF102" s="1" t="s">
        <v>19</v>
      </c>
      <c r="AG102" s="1" t="s">
        <v>19</v>
      </c>
      <c r="AH102" s="16">
        <v>5209.56</v>
      </c>
    </row>
    <row r="103" spans="2:34" ht="15">
      <c r="B103" s="4" t="s">
        <v>153</v>
      </c>
      <c r="C103" s="5">
        <v>43545</v>
      </c>
      <c r="D103" s="4" t="s">
        <v>154</v>
      </c>
      <c r="E103" s="4" t="s">
        <v>792</v>
      </c>
      <c r="F103" s="4" t="s">
        <v>3</v>
      </c>
      <c r="G103" s="4" t="s">
        <v>4</v>
      </c>
      <c r="H103" s="4" t="s">
        <v>786</v>
      </c>
      <c r="I103" s="5">
        <v>43544</v>
      </c>
      <c r="J103" s="6">
        <v>0.5180555555555556</v>
      </c>
      <c r="K103" s="5">
        <v>43546</v>
      </c>
      <c r="L103" s="4" t="s">
        <v>6</v>
      </c>
      <c r="M103" s="4"/>
      <c r="N103" s="4" t="s">
        <v>269</v>
      </c>
      <c r="O103" s="4" t="s">
        <v>270</v>
      </c>
      <c r="P103" s="4" t="s">
        <v>271</v>
      </c>
      <c r="Q103" s="4" t="s">
        <v>4</v>
      </c>
      <c r="R103" s="4" t="s">
        <v>4</v>
      </c>
      <c r="S103" s="4" t="s">
        <v>10</v>
      </c>
      <c r="T103" s="4"/>
      <c r="U103" s="4"/>
      <c r="V103" s="4"/>
      <c r="W103" s="4" t="s">
        <v>11</v>
      </c>
      <c r="X103" s="17">
        <v>2100</v>
      </c>
      <c r="Y103" s="17">
        <v>2100</v>
      </c>
      <c r="Z103" s="4" t="s">
        <v>793</v>
      </c>
      <c r="AA103" s="4" t="s">
        <v>794</v>
      </c>
      <c r="AB103" s="4" t="s">
        <v>795</v>
      </c>
      <c r="AC103" s="4" t="s">
        <v>796</v>
      </c>
      <c r="AD103" s="4" t="s">
        <v>17</v>
      </c>
      <c r="AE103" s="4" t="s">
        <v>18</v>
      </c>
      <c r="AF103" s="4" t="s">
        <v>19</v>
      </c>
      <c r="AG103" s="4" t="s">
        <v>19</v>
      </c>
      <c r="AH103" s="17">
        <v>10834.286</v>
      </c>
    </row>
    <row r="104" spans="2:34" ht="15">
      <c r="B104" s="1" t="s">
        <v>153</v>
      </c>
      <c r="C104" s="2">
        <v>43545</v>
      </c>
      <c r="D104" s="1" t="s">
        <v>154</v>
      </c>
      <c r="E104" s="1" t="s">
        <v>797</v>
      </c>
      <c r="F104" s="1" t="s">
        <v>3</v>
      </c>
      <c r="G104" s="1" t="s">
        <v>4</v>
      </c>
      <c r="H104" s="1" t="s">
        <v>90</v>
      </c>
      <c r="I104" s="2">
        <v>43544</v>
      </c>
      <c r="J104" s="3">
        <v>0.560324074074074</v>
      </c>
      <c r="K104" s="2">
        <v>43546</v>
      </c>
      <c r="L104" s="1" t="s">
        <v>6</v>
      </c>
      <c r="M104" s="1"/>
      <c r="N104" s="1" t="s">
        <v>336</v>
      </c>
      <c r="O104" s="1" t="s">
        <v>337</v>
      </c>
      <c r="P104" s="1" t="s">
        <v>338</v>
      </c>
      <c r="Q104" s="1" t="s">
        <v>4</v>
      </c>
      <c r="R104" s="1" t="s">
        <v>4</v>
      </c>
      <c r="S104" s="1" t="s">
        <v>10</v>
      </c>
      <c r="T104" s="1"/>
      <c r="U104" s="1"/>
      <c r="V104" s="1"/>
      <c r="W104" s="1" t="s">
        <v>11</v>
      </c>
      <c r="X104" s="16">
        <v>200</v>
      </c>
      <c r="Y104" s="16">
        <v>200</v>
      </c>
      <c r="Z104" s="1" t="s">
        <v>799</v>
      </c>
      <c r="AA104" s="1" t="s">
        <v>800</v>
      </c>
      <c r="AB104" s="1" t="s">
        <v>801</v>
      </c>
      <c r="AC104" s="1" t="s">
        <v>802</v>
      </c>
      <c r="AD104" s="1" t="s">
        <v>17</v>
      </c>
      <c r="AE104" s="1" t="s">
        <v>17</v>
      </c>
      <c r="AF104" s="1" t="s">
        <v>19</v>
      </c>
      <c r="AG104" s="1" t="s">
        <v>19</v>
      </c>
      <c r="AH104" s="16">
        <v>4770.44</v>
      </c>
    </row>
    <row r="105" spans="2:34" ht="15">
      <c r="B105" s="4" t="s">
        <v>153</v>
      </c>
      <c r="C105" s="5">
        <v>43545</v>
      </c>
      <c r="D105" s="4" t="s">
        <v>154</v>
      </c>
      <c r="E105" s="4" t="s">
        <v>803</v>
      </c>
      <c r="F105" s="4" t="s">
        <v>3</v>
      </c>
      <c r="G105" s="4" t="s">
        <v>4</v>
      </c>
      <c r="H105" s="4" t="s">
        <v>90</v>
      </c>
      <c r="I105" s="5">
        <v>43544</v>
      </c>
      <c r="J105" s="6">
        <v>0.5603587962962963</v>
      </c>
      <c r="K105" s="5">
        <v>43546</v>
      </c>
      <c r="L105" s="4" t="s">
        <v>6</v>
      </c>
      <c r="M105" s="4"/>
      <c r="N105" s="4" t="s">
        <v>184</v>
      </c>
      <c r="O105" s="4" t="s">
        <v>185</v>
      </c>
      <c r="P105" s="4" t="s">
        <v>186</v>
      </c>
      <c r="Q105" s="4" t="s">
        <v>4</v>
      </c>
      <c r="R105" s="4" t="s">
        <v>4</v>
      </c>
      <c r="S105" s="4" t="s">
        <v>10</v>
      </c>
      <c r="T105" s="4"/>
      <c r="U105" s="4"/>
      <c r="V105" s="4"/>
      <c r="W105" s="4" t="s">
        <v>11</v>
      </c>
      <c r="X105" s="17">
        <v>2300</v>
      </c>
      <c r="Y105" s="17">
        <v>2300</v>
      </c>
      <c r="Z105" s="4" t="s">
        <v>805</v>
      </c>
      <c r="AA105" s="4" t="s">
        <v>806</v>
      </c>
      <c r="AB105" s="4" t="s">
        <v>807</v>
      </c>
      <c r="AC105" s="4" t="s">
        <v>808</v>
      </c>
      <c r="AD105" s="4" t="s">
        <v>17</v>
      </c>
      <c r="AE105" s="4" t="s">
        <v>17</v>
      </c>
      <c r="AF105" s="4" t="s">
        <v>19</v>
      </c>
      <c r="AG105" s="4" t="s">
        <v>19</v>
      </c>
      <c r="AH105" s="17">
        <v>9227.508</v>
      </c>
    </row>
    <row r="106" spans="2:34" ht="15">
      <c r="B106" s="1" t="s">
        <v>153</v>
      </c>
      <c r="C106" s="2">
        <v>43545</v>
      </c>
      <c r="D106" s="1" t="s">
        <v>154</v>
      </c>
      <c r="E106" s="1" t="s">
        <v>809</v>
      </c>
      <c r="F106" s="1" t="s">
        <v>3</v>
      </c>
      <c r="G106" s="1" t="s">
        <v>4</v>
      </c>
      <c r="H106" s="1" t="s">
        <v>90</v>
      </c>
      <c r="I106" s="2">
        <v>43544</v>
      </c>
      <c r="J106" s="3">
        <v>0.6953703703703704</v>
      </c>
      <c r="K106" s="2">
        <v>43546</v>
      </c>
      <c r="L106" s="1" t="s">
        <v>6</v>
      </c>
      <c r="M106" s="1"/>
      <c r="N106" s="1" t="s">
        <v>127</v>
      </c>
      <c r="O106" s="1" t="s">
        <v>128</v>
      </c>
      <c r="P106" s="1" t="s">
        <v>129</v>
      </c>
      <c r="Q106" s="1" t="s">
        <v>4</v>
      </c>
      <c r="R106" s="1" t="s">
        <v>4</v>
      </c>
      <c r="S106" s="1" t="s">
        <v>10</v>
      </c>
      <c r="T106" s="1"/>
      <c r="U106" s="1"/>
      <c r="V106" s="1"/>
      <c r="W106" s="1" t="s">
        <v>11</v>
      </c>
      <c r="X106" s="16">
        <v>800</v>
      </c>
      <c r="Y106" s="16">
        <v>800</v>
      </c>
      <c r="Z106" s="1" t="s">
        <v>810</v>
      </c>
      <c r="AA106" s="1" t="s">
        <v>811</v>
      </c>
      <c r="AB106" s="1" t="s">
        <v>812</v>
      </c>
      <c r="AC106" s="1" t="s">
        <v>813</v>
      </c>
      <c r="AD106" s="1" t="s">
        <v>17</v>
      </c>
      <c r="AE106" s="1" t="s">
        <v>17</v>
      </c>
      <c r="AF106" s="1" t="s">
        <v>19</v>
      </c>
      <c r="AG106" s="1" t="s">
        <v>19</v>
      </c>
      <c r="AH106" s="16">
        <v>6107.76</v>
      </c>
    </row>
    <row r="107" spans="2:34" ht="15">
      <c r="B107" s="4" t="s">
        <v>0</v>
      </c>
      <c r="C107" s="5">
        <v>43546</v>
      </c>
      <c r="D107" s="4" t="s">
        <v>1</v>
      </c>
      <c r="E107" s="4" t="s">
        <v>814</v>
      </c>
      <c r="F107" s="4" t="s">
        <v>3</v>
      </c>
      <c r="G107" s="4" t="s">
        <v>4</v>
      </c>
      <c r="H107" s="4" t="s">
        <v>90</v>
      </c>
      <c r="I107" s="5">
        <v>43545</v>
      </c>
      <c r="J107" s="6">
        <v>0.6935185185185185</v>
      </c>
      <c r="K107" s="5">
        <v>43549</v>
      </c>
      <c r="L107" s="4" t="s">
        <v>6</v>
      </c>
      <c r="M107" s="4"/>
      <c r="N107" s="4" t="s">
        <v>663</v>
      </c>
      <c r="O107" s="4" t="s">
        <v>664</v>
      </c>
      <c r="P107" s="4" t="s">
        <v>665</v>
      </c>
      <c r="Q107" s="4" t="s">
        <v>4</v>
      </c>
      <c r="R107" s="4" t="s">
        <v>4</v>
      </c>
      <c r="S107" s="4" t="s">
        <v>10</v>
      </c>
      <c r="T107" s="4"/>
      <c r="U107" s="4"/>
      <c r="V107" s="4"/>
      <c r="W107" s="4" t="s">
        <v>27</v>
      </c>
      <c r="X107" s="17">
        <v>21253</v>
      </c>
      <c r="Y107" s="17">
        <v>21253</v>
      </c>
      <c r="Z107" s="4" t="s">
        <v>781</v>
      </c>
      <c r="AA107" s="4" t="s">
        <v>816</v>
      </c>
      <c r="AB107" s="4" t="s">
        <v>817</v>
      </c>
      <c r="AC107" s="4" t="s">
        <v>818</v>
      </c>
      <c r="AD107" s="4" t="s">
        <v>17</v>
      </c>
      <c r="AE107" s="4" t="s">
        <v>819</v>
      </c>
      <c r="AF107" s="4" t="s">
        <v>19</v>
      </c>
      <c r="AG107" s="4" t="s">
        <v>19</v>
      </c>
      <c r="AH107" s="17">
        <v>62066.7474</v>
      </c>
    </row>
    <row r="108" spans="2:34" ht="15">
      <c r="B108" s="1" t="s">
        <v>0</v>
      </c>
      <c r="C108" s="2">
        <v>43546</v>
      </c>
      <c r="D108" s="1" t="s">
        <v>1</v>
      </c>
      <c r="E108" s="1" t="s">
        <v>820</v>
      </c>
      <c r="F108" s="1" t="s">
        <v>3</v>
      </c>
      <c r="G108" s="1" t="s">
        <v>4</v>
      </c>
      <c r="H108" s="1" t="s">
        <v>119</v>
      </c>
      <c r="I108" s="2">
        <v>43545</v>
      </c>
      <c r="J108" s="3">
        <v>0.6939351851851852</v>
      </c>
      <c r="K108" s="2">
        <v>43549</v>
      </c>
      <c r="L108" s="1" t="s">
        <v>6</v>
      </c>
      <c r="M108" s="1"/>
      <c r="N108" s="1" t="s">
        <v>663</v>
      </c>
      <c r="O108" s="1" t="s">
        <v>664</v>
      </c>
      <c r="P108" s="1" t="s">
        <v>665</v>
      </c>
      <c r="Q108" s="1" t="s">
        <v>4</v>
      </c>
      <c r="R108" s="1" t="s">
        <v>4</v>
      </c>
      <c r="S108" s="1" t="s">
        <v>10</v>
      </c>
      <c r="T108" s="1"/>
      <c r="U108" s="1"/>
      <c r="V108" s="1"/>
      <c r="W108" s="1" t="s">
        <v>27</v>
      </c>
      <c r="X108" s="16">
        <v>3000</v>
      </c>
      <c r="Y108" s="16">
        <v>3000</v>
      </c>
      <c r="Z108" s="1" t="s">
        <v>781</v>
      </c>
      <c r="AA108" s="1" t="s">
        <v>822</v>
      </c>
      <c r="AB108" s="1" t="s">
        <v>823</v>
      </c>
      <c r="AC108" s="1" t="s">
        <v>824</v>
      </c>
      <c r="AD108" s="1" t="s">
        <v>17</v>
      </c>
      <c r="AE108" s="1" t="s">
        <v>825</v>
      </c>
      <c r="AF108" s="1" t="s">
        <v>19</v>
      </c>
      <c r="AG108" s="1" t="s">
        <v>19</v>
      </c>
      <c r="AH108" s="16">
        <v>8760.99</v>
      </c>
    </row>
    <row r="109" spans="2:34" ht="15">
      <c r="B109" s="4" t="s">
        <v>153</v>
      </c>
      <c r="C109" s="5">
        <v>43546</v>
      </c>
      <c r="D109" s="4" t="s">
        <v>154</v>
      </c>
      <c r="E109" s="4" t="s">
        <v>826</v>
      </c>
      <c r="F109" s="4" t="s">
        <v>3</v>
      </c>
      <c r="G109" s="4" t="s">
        <v>4</v>
      </c>
      <c r="H109" s="4" t="s">
        <v>786</v>
      </c>
      <c r="I109" s="5">
        <v>43545</v>
      </c>
      <c r="J109" s="6">
        <v>0.46805555555555556</v>
      </c>
      <c r="K109" s="5">
        <v>43549</v>
      </c>
      <c r="L109" s="4" t="s">
        <v>6</v>
      </c>
      <c r="M109" s="4"/>
      <c r="N109" s="4" t="s">
        <v>827</v>
      </c>
      <c r="O109" s="4" t="s">
        <v>359</v>
      </c>
      <c r="P109" s="4" t="s">
        <v>360</v>
      </c>
      <c r="Q109" s="4" t="s">
        <v>4</v>
      </c>
      <c r="R109" s="4" t="s">
        <v>4</v>
      </c>
      <c r="S109" s="4" t="s">
        <v>10</v>
      </c>
      <c r="T109" s="4"/>
      <c r="U109" s="4"/>
      <c r="V109" s="4"/>
      <c r="W109" s="4" t="s">
        <v>11</v>
      </c>
      <c r="X109" s="17">
        <v>2000</v>
      </c>
      <c r="Y109" s="17">
        <v>2000</v>
      </c>
      <c r="Z109" s="4" t="s">
        <v>828</v>
      </c>
      <c r="AA109" s="4" t="s">
        <v>829</v>
      </c>
      <c r="AB109" s="4" t="s">
        <v>830</v>
      </c>
      <c r="AC109" s="4" t="s">
        <v>831</v>
      </c>
      <c r="AD109" s="4" t="s">
        <v>17</v>
      </c>
      <c r="AE109" s="4" t="s">
        <v>17</v>
      </c>
      <c r="AF109" s="4" t="s">
        <v>19</v>
      </c>
      <c r="AG109" s="4" t="s">
        <v>19</v>
      </c>
      <c r="AH109" s="17">
        <v>6017.94</v>
      </c>
    </row>
    <row r="110" spans="2:34" ht="15">
      <c r="B110" s="1" t="s">
        <v>153</v>
      </c>
      <c r="C110" s="2">
        <v>43546</v>
      </c>
      <c r="D110" s="1" t="s">
        <v>154</v>
      </c>
      <c r="E110" s="1" t="s">
        <v>832</v>
      </c>
      <c r="F110" s="1" t="s">
        <v>3</v>
      </c>
      <c r="G110" s="1" t="s">
        <v>4</v>
      </c>
      <c r="H110" s="1" t="s">
        <v>632</v>
      </c>
      <c r="I110" s="2">
        <v>43545</v>
      </c>
      <c r="J110" s="3">
        <v>0.5222916666666667</v>
      </c>
      <c r="K110" s="2">
        <v>43549</v>
      </c>
      <c r="L110" s="1" t="s">
        <v>6</v>
      </c>
      <c r="M110" s="1"/>
      <c r="N110" s="1" t="s">
        <v>110</v>
      </c>
      <c r="O110" s="1" t="s">
        <v>111</v>
      </c>
      <c r="P110" s="1" t="s">
        <v>112</v>
      </c>
      <c r="Q110" s="1" t="s">
        <v>4</v>
      </c>
      <c r="R110" s="1" t="s">
        <v>4</v>
      </c>
      <c r="S110" s="1" t="s">
        <v>10</v>
      </c>
      <c r="T110" s="1"/>
      <c r="U110" s="1"/>
      <c r="V110" s="1"/>
      <c r="W110" s="1" t="s">
        <v>27</v>
      </c>
      <c r="X110" s="16">
        <v>2700</v>
      </c>
      <c r="Y110" s="16">
        <v>2700</v>
      </c>
      <c r="Z110" s="1" t="s">
        <v>834</v>
      </c>
      <c r="AA110" s="1" t="s">
        <v>835</v>
      </c>
      <c r="AB110" s="1" t="s">
        <v>836</v>
      </c>
      <c r="AC110" s="1" t="s">
        <v>837</v>
      </c>
      <c r="AD110" s="1" t="s">
        <v>17</v>
      </c>
      <c r="AE110" s="1" t="s">
        <v>17</v>
      </c>
      <c r="AF110" s="1" t="s">
        <v>19</v>
      </c>
      <c r="AG110" s="1" t="s">
        <v>19</v>
      </c>
      <c r="AH110" s="16">
        <v>8319.105</v>
      </c>
    </row>
    <row r="111" spans="2:34" ht="15">
      <c r="B111" s="4" t="s">
        <v>153</v>
      </c>
      <c r="C111" s="5">
        <v>43546</v>
      </c>
      <c r="D111" s="4" t="s">
        <v>154</v>
      </c>
      <c r="E111" s="4" t="s">
        <v>838</v>
      </c>
      <c r="F111" s="4" t="s">
        <v>3</v>
      </c>
      <c r="G111" s="4" t="s">
        <v>4</v>
      </c>
      <c r="H111" s="4" t="s">
        <v>23</v>
      </c>
      <c r="I111" s="5">
        <v>43545</v>
      </c>
      <c r="J111" s="6">
        <v>0.6270254629629629</v>
      </c>
      <c r="K111" s="5">
        <v>43549</v>
      </c>
      <c r="L111" s="4" t="s">
        <v>6</v>
      </c>
      <c r="M111" s="4"/>
      <c r="N111" s="4" t="s">
        <v>145</v>
      </c>
      <c r="O111" s="4" t="s">
        <v>146</v>
      </c>
      <c r="P111" s="4" t="s">
        <v>147</v>
      </c>
      <c r="Q111" s="4" t="s">
        <v>4</v>
      </c>
      <c r="R111" s="4" t="s">
        <v>4</v>
      </c>
      <c r="S111" s="4" t="s">
        <v>10</v>
      </c>
      <c r="T111" s="4"/>
      <c r="U111" s="4"/>
      <c r="V111" s="4"/>
      <c r="W111" s="4" t="s">
        <v>27</v>
      </c>
      <c r="X111" s="17">
        <v>3000</v>
      </c>
      <c r="Y111" s="17">
        <v>3000</v>
      </c>
      <c r="Z111" s="4" t="s">
        <v>839</v>
      </c>
      <c r="AA111" s="4" t="s">
        <v>840</v>
      </c>
      <c r="AB111" s="4" t="s">
        <v>841</v>
      </c>
      <c r="AC111" s="4" t="s">
        <v>842</v>
      </c>
      <c r="AD111" s="4" t="s">
        <v>17</v>
      </c>
      <c r="AE111" s="4" t="s">
        <v>17</v>
      </c>
      <c r="AF111" s="4" t="s">
        <v>19</v>
      </c>
      <c r="AG111" s="4" t="s">
        <v>19</v>
      </c>
      <c r="AH111" s="17">
        <v>9018</v>
      </c>
    </row>
    <row r="112" spans="2:34" ht="15">
      <c r="B112" s="1" t="s">
        <v>153</v>
      </c>
      <c r="C112" s="2">
        <v>43546</v>
      </c>
      <c r="D112" s="1" t="s">
        <v>154</v>
      </c>
      <c r="E112" s="1" t="s">
        <v>843</v>
      </c>
      <c r="F112" s="1" t="s">
        <v>3</v>
      </c>
      <c r="G112" s="1" t="s">
        <v>4</v>
      </c>
      <c r="H112" s="1" t="s">
        <v>786</v>
      </c>
      <c r="I112" s="2">
        <v>43546</v>
      </c>
      <c r="J112" s="3">
        <v>0.41458333333333336</v>
      </c>
      <c r="K112" s="2">
        <v>43550</v>
      </c>
      <c r="L112" s="1" t="s">
        <v>6</v>
      </c>
      <c r="M112" s="1"/>
      <c r="N112" s="1" t="s">
        <v>250</v>
      </c>
      <c r="O112" s="1" t="s">
        <v>251</v>
      </c>
      <c r="P112" s="1" t="s">
        <v>252</v>
      </c>
      <c r="Q112" s="1" t="s">
        <v>4</v>
      </c>
      <c r="R112" s="1" t="s">
        <v>4</v>
      </c>
      <c r="S112" s="1" t="s">
        <v>10</v>
      </c>
      <c r="T112" s="1"/>
      <c r="U112" s="1"/>
      <c r="V112" s="1"/>
      <c r="W112" s="1" t="s">
        <v>27</v>
      </c>
      <c r="X112" s="16">
        <v>680</v>
      </c>
      <c r="Y112" s="16">
        <v>680</v>
      </c>
      <c r="Z112" s="1" t="s">
        <v>845</v>
      </c>
      <c r="AA112" s="1" t="s">
        <v>846</v>
      </c>
      <c r="AB112" s="1" t="s">
        <v>847</v>
      </c>
      <c r="AC112" s="1" t="s">
        <v>848</v>
      </c>
      <c r="AD112" s="1" t="s">
        <v>17</v>
      </c>
      <c r="AE112" s="1" t="s">
        <v>849</v>
      </c>
      <c r="AF112" s="1" t="s">
        <v>19</v>
      </c>
      <c r="AG112" s="1" t="s">
        <v>19</v>
      </c>
      <c r="AH112" s="16">
        <v>2389.8364</v>
      </c>
    </row>
    <row r="113" spans="2:34" ht="15">
      <c r="B113" s="4" t="s">
        <v>20</v>
      </c>
      <c r="C113" s="5">
        <v>43549</v>
      </c>
      <c r="D113" s="4" t="s">
        <v>21</v>
      </c>
      <c r="E113" s="4" t="s">
        <v>850</v>
      </c>
      <c r="F113" s="4" t="s">
        <v>3</v>
      </c>
      <c r="G113" s="4" t="s">
        <v>4</v>
      </c>
      <c r="H113" s="4" t="s">
        <v>90</v>
      </c>
      <c r="I113" s="5">
        <v>43546</v>
      </c>
      <c r="J113" s="6">
        <v>0.5529282407407408</v>
      </c>
      <c r="K113" s="5">
        <v>43550</v>
      </c>
      <c r="L113" s="4" t="s">
        <v>6</v>
      </c>
      <c r="M113" s="4"/>
      <c r="N113" s="4" t="s">
        <v>91</v>
      </c>
      <c r="O113" s="4" t="s">
        <v>92</v>
      </c>
      <c r="P113" s="4" t="s">
        <v>575</v>
      </c>
      <c r="Q113" s="4" t="s">
        <v>4</v>
      </c>
      <c r="R113" s="4" t="s">
        <v>4</v>
      </c>
      <c r="S113" s="4" t="s">
        <v>10</v>
      </c>
      <c r="T113" s="4"/>
      <c r="U113" s="4"/>
      <c r="V113" s="4"/>
      <c r="W113" s="4" t="s">
        <v>11</v>
      </c>
      <c r="X113" s="17">
        <v>185000</v>
      </c>
      <c r="Y113" s="17">
        <v>185000</v>
      </c>
      <c r="Z113" s="4" t="s">
        <v>852</v>
      </c>
      <c r="AA113" s="4" t="s">
        <v>853</v>
      </c>
      <c r="AB113" s="4" t="s">
        <v>854</v>
      </c>
      <c r="AC113" s="4" t="s">
        <v>855</v>
      </c>
      <c r="AD113" s="4" t="s">
        <v>17</v>
      </c>
      <c r="AE113" s="4" t="s">
        <v>18</v>
      </c>
      <c r="AF113" s="4" t="s">
        <v>19</v>
      </c>
      <c r="AG113" s="4" t="s">
        <v>19</v>
      </c>
      <c r="AH113" s="17">
        <v>32987.02673</v>
      </c>
    </row>
    <row r="114" spans="2:34" ht="15">
      <c r="B114" s="1" t="s">
        <v>0</v>
      </c>
      <c r="C114" s="2">
        <v>43549</v>
      </c>
      <c r="D114" s="1" t="s">
        <v>1</v>
      </c>
      <c r="E114" s="1" t="s">
        <v>856</v>
      </c>
      <c r="F114" s="1" t="s">
        <v>3</v>
      </c>
      <c r="G114" s="1" t="s">
        <v>4</v>
      </c>
      <c r="H114" s="1" t="s">
        <v>90</v>
      </c>
      <c r="I114" s="2">
        <v>43546</v>
      </c>
      <c r="J114" s="3">
        <v>0.5529282407407408</v>
      </c>
      <c r="K114" s="2">
        <v>43550</v>
      </c>
      <c r="L114" s="1" t="s">
        <v>6</v>
      </c>
      <c r="M114" s="1"/>
      <c r="N114" s="1" t="s">
        <v>91</v>
      </c>
      <c r="O114" s="1" t="s">
        <v>92</v>
      </c>
      <c r="P114" s="1" t="s">
        <v>575</v>
      </c>
      <c r="Q114" s="1" t="s">
        <v>4</v>
      </c>
      <c r="R114" s="1" t="s">
        <v>4</v>
      </c>
      <c r="S114" s="1" t="s">
        <v>10</v>
      </c>
      <c r="T114" s="1"/>
      <c r="U114" s="1"/>
      <c r="V114" s="1"/>
      <c r="W114" s="1" t="s">
        <v>11</v>
      </c>
      <c r="X114" s="16">
        <v>37000</v>
      </c>
      <c r="Y114" s="16">
        <v>37000</v>
      </c>
      <c r="Z114" s="1" t="s">
        <v>852</v>
      </c>
      <c r="AA114" s="1" t="s">
        <v>858</v>
      </c>
      <c r="AB114" s="1" t="s">
        <v>859</v>
      </c>
      <c r="AC114" s="1" t="s">
        <v>860</v>
      </c>
      <c r="AD114" s="1" t="s">
        <v>17</v>
      </c>
      <c r="AE114" s="1" t="s">
        <v>17</v>
      </c>
      <c r="AF114" s="1" t="s">
        <v>19</v>
      </c>
      <c r="AG114" s="1" t="s">
        <v>19</v>
      </c>
      <c r="AH114" s="16">
        <v>6597.605346</v>
      </c>
    </row>
    <row r="115" spans="2:34" ht="15">
      <c r="B115" s="4" t="s">
        <v>0</v>
      </c>
      <c r="C115" s="5">
        <v>43549</v>
      </c>
      <c r="D115" s="4" t="s">
        <v>1</v>
      </c>
      <c r="E115" s="4" t="s">
        <v>861</v>
      </c>
      <c r="F115" s="4" t="s">
        <v>3</v>
      </c>
      <c r="G115" s="4" t="s">
        <v>4</v>
      </c>
      <c r="H115" s="4" t="s">
        <v>119</v>
      </c>
      <c r="I115" s="5">
        <v>43546</v>
      </c>
      <c r="J115" s="6">
        <v>0.6874537037037037</v>
      </c>
      <c r="K115" s="5">
        <v>43550</v>
      </c>
      <c r="L115" s="4" t="s">
        <v>6</v>
      </c>
      <c r="M115" s="4"/>
      <c r="N115" s="4" t="s">
        <v>663</v>
      </c>
      <c r="O115" s="4" t="s">
        <v>664</v>
      </c>
      <c r="P115" s="4" t="s">
        <v>665</v>
      </c>
      <c r="Q115" s="4" t="s">
        <v>4</v>
      </c>
      <c r="R115" s="4" t="s">
        <v>4</v>
      </c>
      <c r="S115" s="4" t="s">
        <v>10</v>
      </c>
      <c r="T115" s="4"/>
      <c r="U115" s="4"/>
      <c r="V115" s="4"/>
      <c r="W115" s="4" t="s">
        <v>27</v>
      </c>
      <c r="X115" s="17">
        <v>5439</v>
      </c>
      <c r="Y115" s="17">
        <v>5439</v>
      </c>
      <c r="Z115" s="4" t="s">
        <v>781</v>
      </c>
      <c r="AA115" s="4" t="s">
        <v>863</v>
      </c>
      <c r="AB115" s="4" t="s">
        <v>864</v>
      </c>
      <c r="AC115" s="4" t="s">
        <v>865</v>
      </c>
      <c r="AD115" s="4" t="s">
        <v>17</v>
      </c>
      <c r="AE115" s="4" t="s">
        <v>866</v>
      </c>
      <c r="AF115" s="4" t="s">
        <v>19</v>
      </c>
      <c r="AG115" s="4" t="s">
        <v>19</v>
      </c>
      <c r="AH115" s="17">
        <v>15884.6662</v>
      </c>
    </row>
    <row r="116" spans="2:34" ht="15">
      <c r="B116" s="1" t="s">
        <v>0</v>
      </c>
      <c r="C116" s="2">
        <v>43549</v>
      </c>
      <c r="D116" s="1" t="s">
        <v>1</v>
      </c>
      <c r="E116" s="1" t="s">
        <v>867</v>
      </c>
      <c r="F116" s="1" t="s">
        <v>3</v>
      </c>
      <c r="G116" s="1" t="s">
        <v>4</v>
      </c>
      <c r="H116" s="1" t="s">
        <v>90</v>
      </c>
      <c r="I116" s="2">
        <v>43546</v>
      </c>
      <c r="J116" s="3">
        <v>0.6936921296296297</v>
      </c>
      <c r="K116" s="2">
        <v>43550</v>
      </c>
      <c r="L116" s="1" t="s">
        <v>6</v>
      </c>
      <c r="M116" s="1"/>
      <c r="N116" s="1" t="s">
        <v>663</v>
      </c>
      <c r="O116" s="1" t="s">
        <v>664</v>
      </c>
      <c r="P116" s="1" t="s">
        <v>665</v>
      </c>
      <c r="Q116" s="1" t="s">
        <v>4</v>
      </c>
      <c r="R116" s="1" t="s">
        <v>4</v>
      </c>
      <c r="S116" s="1" t="s">
        <v>10</v>
      </c>
      <c r="T116" s="1"/>
      <c r="U116" s="1"/>
      <c r="V116" s="1"/>
      <c r="W116" s="1" t="s">
        <v>27</v>
      </c>
      <c r="X116" s="16">
        <v>44747</v>
      </c>
      <c r="Y116" s="16">
        <v>44747</v>
      </c>
      <c r="Z116" s="1" t="s">
        <v>869</v>
      </c>
      <c r="AA116" s="1" t="s">
        <v>870</v>
      </c>
      <c r="AB116" s="1" t="s">
        <v>871</v>
      </c>
      <c r="AC116" s="1" t="s">
        <v>872</v>
      </c>
      <c r="AD116" s="1" t="s">
        <v>17</v>
      </c>
      <c r="AE116" s="1" t="s">
        <v>873</v>
      </c>
      <c r="AF116" s="1" t="s">
        <v>19</v>
      </c>
      <c r="AG116" s="1" t="s">
        <v>19</v>
      </c>
      <c r="AH116" s="16">
        <v>130664.5277</v>
      </c>
    </row>
    <row r="117" spans="2:34" ht="15">
      <c r="B117" s="4" t="s">
        <v>20</v>
      </c>
      <c r="C117" s="5">
        <v>43550</v>
      </c>
      <c r="D117" s="4" t="s">
        <v>21</v>
      </c>
      <c r="E117" s="4" t="s">
        <v>874</v>
      </c>
      <c r="F117" s="4" t="s">
        <v>3</v>
      </c>
      <c r="G117" s="4" t="s">
        <v>4</v>
      </c>
      <c r="H117" s="4" t="s">
        <v>875</v>
      </c>
      <c r="I117" s="5">
        <v>43549</v>
      </c>
      <c r="J117" s="6">
        <v>0.475</v>
      </c>
      <c r="K117" s="5">
        <v>43551</v>
      </c>
      <c r="L117" s="4" t="s">
        <v>6</v>
      </c>
      <c r="M117" s="4"/>
      <c r="N117" s="4" t="s">
        <v>876</v>
      </c>
      <c r="O117" s="4" t="s">
        <v>877</v>
      </c>
      <c r="P117" s="4" t="s">
        <v>878</v>
      </c>
      <c r="Q117" s="4" t="s">
        <v>4</v>
      </c>
      <c r="R117" s="4" t="s">
        <v>4</v>
      </c>
      <c r="S117" s="4" t="s">
        <v>10</v>
      </c>
      <c r="T117" s="4"/>
      <c r="U117" s="4"/>
      <c r="V117" s="4"/>
      <c r="W117" s="4" t="s">
        <v>11</v>
      </c>
      <c r="X117" s="17">
        <v>830000</v>
      </c>
      <c r="Y117" s="17">
        <v>830000</v>
      </c>
      <c r="Z117" s="4" t="s">
        <v>880</v>
      </c>
      <c r="AA117" s="4" t="s">
        <v>881</v>
      </c>
      <c r="AB117" s="4" t="s">
        <v>882</v>
      </c>
      <c r="AC117" s="4" t="s">
        <v>883</v>
      </c>
      <c r="AD117" s="4" t="s">
        <v>17</v>
      </c>
      <c r="AE117" s="4" t="s">
        <v>18</v>
      </c>
      <c r="AF117" s="4" t="s">
        <v>19</v>
      </c>
      <c r="AG117" s="4" t="s">
        <v>19</v>
      </c>
      <c r="AH117" s="17">
        <v>1060274.2</v>
      </c>
    </row>
    <row r="118" spans="2:34" ht="15">
      <c r="B118" s="1" t="s">
        <v>20</v>
      </c>
      <c r="C118" s="2">
        <v>43550</v>
      </c>
      <c r="D118" s="1" t="s">
        <v>21</v>
      </c>
      <c r="E118" s="1" t="s">
        <v>884</v>
      </c>
      <c r="F118" s="1" t="s">
        <v>3</v>
      </c>
      <c r="G118" s="1" t="s">
        <v>4</v>
      </c>
      <c r="H118" s="1" t="s">
        <v>119</v>
      </c>
      <c r="I118" s="2">
        <v>43549</v>
      </c>
      <c r="J118" s="3">
        <v>0.6078472222222222</v>
      </c>
      <c r="K118" s="2">
        <v>43551</v>
      </c>
      <c r="L118" s="1" t="s">
        <v>6</v>
      </c>
      <c r="M118" s="1"/>
      <c r="N118" s="1" t="s">
        <v>885</v>
      </c>
      <c r="O118" s="1" t="s">
        <v>886</v>
      </c>
      <c r="P118" s="1" t="s">
        <v>887</v>
      </c>
      <c r="Q118" s="1" t="s">
        <v>4</v>
      </c>
      <c r="R118" s="1" t="s">
        <v>4</v>
      </c>
      <c r="S118" s="1" t="s">
        <v>10</v>
      </c>
      <c r="T118" s="1"/>
      <c r="U118" s="1"/>
      <c r="V118" s="1"/>
      <c r="W118" s="1" t="s">
        <v>27</v>
      </c>
      <c r="X118" s="16">
        <v>296000</v>
      </c>
      <c r="Y118" s="16">
        <v>296000</v>
      </c>
      <c r="Z118" s="1" t="s">
        <v>757</v>
      </c>
      <c r="AA118" s="1" t="s">
        <v>889</v>
      </c>
      <c r="AB118" s="1" t="s">
        <v>890</v>
      </c>
      <c r="AC118" s="1" t="s">
        <v>891</v>
      </c>
      <c r="AD118" s="1" t="s">
        <v>17</v>
      </c>
      <c r="AE118" s="1" t="s">
        <v>892</v>
      </c>
      <c r="AF118" s="1" t="s">
        <v>19</v>
      </c>
      <c r="AG118" s="1" t="s">
        <v>19</v>
      </c>
      <c r="AH118" s="16">
        <v>574540.49</v>
      </c>
    </row>
    <row r="119" spans="2:34" ht="15">
      <c r="B119" s="1" t="s">
        <v>0</v>
      </c>
      <c r="C119" s="2">
        <v>43550</v>
      </c>
      <c r="D119" s="1" t="s">
        <v>1</v>
      </c>
      <c r="E119" s="1" t="s">
        <v>900</v>
      </c>
      <c r="F119" s="1" t="s">
        <v>3</v>
      </c>
      <c r="G119" s="1" t="s">
        <v>4</v>
      </c>
      <c r="H119" s="1" t="s">
        <v>119</v>
      </c>
      <c r="I119" s="2">
        <v>43549</v>
      </c>
      <c r="J119" s="3">
        <v>0.6078472222222222</v>
      </c>
      <c r="K119" s="2">
        <v>43551</v>
      </c>
      <c r="L119" s="1" t="s">
        <v>6</v>
      </c>
      <c r="M119" s="1"/>
      <c r="N119" s="1" t="s">
        <v>885</v>
      </c>
      <c r="O119" s="1" t="s">
        <v>886</v>
      </c>
      <c r="P119" s="1" t="s">
        <v>887</v>
      </c>
      <c r="Q119" s="1" t="s">
        <v>4</v>
      </c>
      <c r="R119" s="1" t="s">
        <v>4</v>
      </c>
      <c r="S119" s="1" t="s">
        <v>10</v>
      </c>
      <c r="T119" s="1"/>
      <c r="U119" s="1"/>
      <c r="V119" s="1"/>
      <c r="W119" s="1" t="s">
        <v>27</v>
      </c>
      <c r="X119" s="16">
        <v>65000</v>
      </c>
      <c r="Y119" s="16">
        <v>65000</v>
      </c>
      <c r="Z119" s="1" t="s">
        <v>757</v>
      </c>
      <c r="AA119" s="1" t="s">
        <v>902</v>
      </c>
      <c r="AB119" s="1" t="s">
        <v>903</v>
      </c>
      <c r="AC119" s="1" t="s">
        <v>904</v>
      </c>
      <c r="AD119" s="1" t="s">
        <v>17</v>
      </c>
      <c r="AE119" s="1" t="s">
        <v>905</v>
      </c>
      <c r="AF119" s="1" t="s">
        <v>19</v>
      </c>
      <c r="AG119" s="1" t="s">
        <v>19</v>
      </c>
      <c r="AH119" s="16">
        <v>126166.765</v>
      </c>
    </row>
    <row r="120" spans="2:34" ht="15">
      <c r="B120" s="4" t="s">
        <v>0</v>
      </c>
      <c r="C120" s="5">
        <v>43550</v>
      </c>
      <c r="D120" s="4" t="s">
        <v>1</v>
      </c>
      <c r="E120" s="4" t="s">
        <v>906</v>
      </c>
      <c r="F120" s="4" t="s">
        <v>3</v>
      </c>
      <c r="G120" s="4" t="s">
        <v>4</v>
      </c>
      <c r="H120" s="4" t="s">
        <v>119</v>
      </c>
      <c r="I120" s="5">
        <v>43549</v>
      </c>
      <c r="J120" s="6">
        <v>0.6909953703703704</v>
      </c>
      <c r="K120" s="5">
        <v>43551</v>
      </c>
      <c r="L120" s="4" t="s">
        <v>6</v>
      </c>
      <c r="M120" s="4"/>
      <c r="N120" s="4" t="s">
        <v>663</v>
      </c>
      <c r="O120" s="4" t="s">
        <v>664</v>
      </c>
      <c r="P120" s="4" t="s">
        <v>665</v>
      </c>
      <c r="Q120" s="4" t="s">
        <v>4</v>
      </c>
      <c r="R120" s="4" t="s">
        <v>4</v>
      </c>
      <c r="S120" s="4" t="s">
        <v>10</v>
      </c>
      <c r="T120" s="4"/>
      <c r="U120" s="4"/>
      <c r="V120" s="4"/>
      <c r="W120" s="4" t="s">
        <v>27</v>
      </c>
      <c r="X120" s="17">
        <v>14616</v>
      </c>
      <c r="Y120" s="17">
        <v>14616</v>
      </c>
      <c r="Z120" s="4" t="s">
        <v>908</v>
      </c>
      <c r="AA120" s="4" t="s">
        <v>909</v>
      </c>
      <c r="AB120" s="4" t="s">
        <v>910</v>
      </c>
      <c r="AC120" s="4" t="s">
        <v>911</v>
      </c>
      <c r="AD120" s="4" t="s">
        <v>17</v>
      </c>
      <c r="AE120" s="4" t="s">
        <v>912</v>
      </c>
      <c r="AF120" s="4" t="s">
        <v>19</v>
      </c>
      <c r="AG120" s="4" t="s">
        <v>19</v>
      </c>
      <c r="AH120" s="17">
        <v>42390.15816</v>
      </c>
    </row>
    <row r="121" spans="2:34" ht="15">
      <c r="B121" s="4" t="s">
        <v>0</v>
      </c>
      <c r="C121" s="5">
        <v>43551</v>
      </c>
      <c r="D121" s="4" t="s">
        <v>1</v>
      </c>
      <c r="E121" s="4" t="s">
        <v>922</v>
      </c>
      <c r="F121" s="4" t="s">
        <v>3</v>
      </c>
      <c r="G121" s="4" t="s">
        <v>4</v>
      </c>
      <c r="H121" s="4" t="s">
        <v>119</v>
      </c>
      <c r="I121" s="5">
        <v>43550</v>
      </c>
      <c r="J121" s="6">
        <v>0.5016319444444445</v>
      </c>
      <c r="K121" s="5">
        <v>43552</v>
      </c>
      <c r="L121" s="4" t="s">
        <v>6</v>
      </c>
      <c r="M121" s="4"/>
      <c r="N121" s="4" t="s">
        <v>663</v>
      </c>
      <c r="O121" s="4" t="s">
        <v>664</v>
      </c>
      <c r="P121" s="4" t="s">
        <v>665</v>
      </c>
      <c r="Q121" s="4" t="s">
        <v>4</v>
      </c>
      <c r="R121" s="4" t="s">
        <v>4</v>
      </c>
      <c r="S121" s="4" t="s">
        <v>10</v>
      </c>
      <c r="T121" s="4"/>
      <c r="U121" s="4"/>
      <c r="V121" s="4"/>
      <c r="W121" s="4" t="s">
        <v>27</v>
      </c>
      <c r="X121" s="17">
        <v>149</v>
      </c>
      <c r="Y121" s="17">
        <v>149</v>
      </c>
      <c r="Z121" s="4" t="s">
        <v>924</v>
      </c>
      <c r="AA121" s="4" t="s">
        <v>925</v>
      </c>
      <c r="AB121" s="4" t="s">
        <v>926</v>
      </c>
      <c r="AC121" s="4" t="s">
        <v>927</v>
      </c>
      <c r="AD121" s="4" t="s">
        <v>17</v>
      </c>
      <c r="AE121" s="4" t="s">
        <v>928</v>
      </c>
      <c r="AF121" s="4" t="s">
        <v>19</v>
      </c>
      <c r="AG121" s="4" t="s">
        <v>19</v>
      </c>
      <c r="AH121" s="17">
        <v>429.12228</v>
      </c>
    </row>
    <row r="122" spans="2:34" ht="15">
      <c r="B122" s="1" t="s">
        <v>0</v>
      </c>
      <c r="C122" s="2">
        <v>43552</v>
      </c>
      <c r="D122" s="1" t="s">
        <v>1</v>
      </c>
      <c r="E122" s="1" t="s">
        <v>929</v>
      </c>
      <c r="F122" s="1" t="s">
        <v>3</v>
      </c>
      <c r="G122" s="1" t="s">
        <v>4</v>
      </c>
      <c r="H122" s="1" t="s">
        <v>119</v>
      </c>
      <c r="I122" s="2">
        <v>43551</v>
      </c>
      <c r="J122" s="3">
        <v>0.6774652777777778</v>
      </c>
      <c r="K122" s="2">
        <v>43553</v>
      </c>
      <c r="L122" s="1" t="s">
        <v>6</v>
      </c>
      <c r="M122" s="1"/>
      <c r="N122" s="1" t="s">
        <v>663</v>
      </c>
      <c r="O122" s="1" t="s">
        <v>664</v>
      </c>
      <c r="P122" s="1" t="s">
        <v>665</v>
      </c>
      <c r="Q122" s="1" t="s">
        <v>4</v>
      </c>
      <c r="R122" s="1" t="s">
        <v>4</v>
      </c>
      <c r="S122" s="1" t="s">
        <v>10</v>
      </c>
      <c r="T122" s="1"/>
      <c r="U122" s="1"/>
      <c r="V122" s="1"/>
      <c r="W122" s="1" t="s">
        <v>27</v>
      </c>
      <c r="X122" s="16">
        <v>18404</v>
      </c>
      <c r="Y122" s="16">
        <v>18404</v>
      </c>
      <c r="Z122" s="1" t="s">
        <v>931</v>
      </c>
      <c r="AA122" s="1" t="s">
        <v>932</v>
      </c>
      <c r="AB122" s="1" t="s">
        <v>933</v>
      </c>
      <c r="AC122" s="1" t="s">
        <v>934</v>
      </c>
      <c r="AD122" s="1" t="s">
        <v>17</v>
      </c>
      <c r="AE122" s="1" t="s">
        <v>935</v>
      </c>
      <c r="AF122" s="1" t="s">
        <v>19</v>
      </c>
      <c r="AG122" s="1" t="s">
        <v>19</v>
      </c>
      <c r="AH122" s="16">
        <v>53828.06147</v>
      </c>
    </row>
    <row r="123" spans="2:34" ht="15">
      <c r="B123" s="4" t="s">
        <v>0</v>
      </c>
      <c r="C123" s="5">
        <v>43552</v>
      </c>
      <c r="D123" s="4" t="s">
        <v>1</v>
      </c>
      <c r="E123" s="4" t="s">
        <v>936</v>
      </c>
      <c r="F123" s="4" t="s">
        <v>3</v>
      </c>
      <c r="G123" s="4" t="s">
        <v>4</v>
      </c>
      <c r="H123" s="4" t="s">
        <v>119</v>
      </c>
      <c r="I123" s="5">
        <v>43552</v>
      </c>
      <c r="J123" s="6">
        <v>0.3500462962962963</v>
      </c>
      <c r="K123" s="5">
        <v>43556</v>
      </c>
      <c r="L123" s="4" t="s">
        <v>6</v>
      </c>
      <c r="M123" s="4"/>
      <c r="N123" s="4" t="s">
        <v>663</v>
      </c>
      <c r="O123" s="4" t="s">
        <v>664</v>
      </c>
      <c r="P123" s="4" t="s">
        <v>665</v>
      </c>
      <c r="Q123" s="4" t="s">
        <v>4</v>
      </c>
      <c r="R123" s="4" t="s">
        <v>4</v>
      </c>
      <c r="S123" s="4" t="s">
        <v>10</v>
      </c>
      <c r="T123" s="4"/>
      <c r="U123" s="4"/>
      <c r="V123" s="4"/>
      <c r="W123" s="4" t="s">
        <v>27</v>
      </c>
      <c r="X123" s="17">
        <v>98392</v>
      </c>
      <c r="Y123" s="17">
        <v>98392</v>
      </c>
      <c r="Z123" s="4" t="s">
        <v>938</v>
      </c>
      <c r="AA123" s="4" t="s">
        <v>939</v>
      </c>
      <c r="AB123" s="4" t="s">
        <v>940</v>
      </c>
      <c r="AC123" s="4" t="s">
        <v>941</v>
      </c>
      <c r="AD123" s="4" t="s">
        <v>17</v>
      </c>
      <c r="AE123" s="4" t="s">
        <v>942</v>
      </c>
      <c r="AF123" s="4" t="s">
        <v>19</v>
      </c>
      <c r="AG123" s="4" t="s">
        <v>19</v>
      </c>
      <c r="AH123" s="17">
        <v>286347.1958</v>
      </c>
    </row>
    <row r="124" spans="2:34" ht="15">
      <c r="B124" s="1" t="s">
        <v>0</v>
      </c>
      <c r="C124" s="2">
        <v>43552</v>
      </c>
      <c r="D124" s="1" t="s">
        <v>1</v>
      </c>
      <c r="E124" s="1" t="s">
        <v>943</v>
      </c>
      <c r="F124" s="1" t="s">
        <v>3</v>
      </c>
      <c r="G124" s="1" t="s">
        <v>4</v>
      </c>
      <c r="H124" s="1" t="s">
        <v>90</v>
      </c>
      <c r="I124" s="2">
        <v>43552</v>
      </c>
      <c r="J124" s="3">
        <v>0.4295601851851852</v>
      </c>
      <c r="K124" s="2">
        <v>43556</v>
      </c>
      <c r="L124" s="1" t="s">
        <v>6</v>
      </c>
      <c r="M124" s="1"/>
      <c r="N124" s="1" t="s">
        <v>663</v>
      </c>
      <c r="O124" s="1" t="s">
        <v>664</v>
      </c>
      <c r="P124" s="1" t="s">
        <v>665</v>
      </c>
      <c r="Q124" s="1" t="s">
        <v>4</v>
      </c>
      <c r="R124" s="1" t="s">
        <v>4</v>
      </c>
      <c r="S124" s="1" t="s">
        <v>10</v>
      </c>
      <c r="T124" s="1"/>
      <c r="U124" s="1"/>
      <c r="V124" s="1"/>
      <c r="W124" s="1" t="s">
        <v>27</v>
      </c>
      <c r="X124" s="16">
        <v>13443</v>
      </c>
      <c r="Y124" s="16">
        <v>13443</v>
      </c>
      <c r="Z124" s="1" t="s">
        <v>781</v>
      </c>
      <c r="AA124" s="1" t="s">
        <v>945</v>
      </c>
      <c r="AB124" s="1" t="s">
        <v>946</v>
      </c>
      <c r="AC124" s="1" t="s">
        <v>947</v>
      </c>
      <c r="AD124" s="1" t="s">
        <v>17</v>
      </c>
      <c r="AE124" s="1" t="s">
        <v>948</v>
      </c>
      <c r="AF124" s="1" t="s">
        <v>19</v>
      </c>
      <c r="AG124" s="1" t="s">
        <v>19</v>
      </c>
      <c r="AH124" s="16">
        <v>39258.9794</v>
      </c>
    </row>
    <row r="125" spans="2:34" ht="15">
      <c r="B125" s="4" t="s">
        <v>20</v>
      </c>
      <c r="C125" s="5">
        <v>43553</v>
      </c>
      <c r="D125" s="4" t="s">
        <v>21</v>
      </c>
      <c r="E125" s="4" t="s">
        <v>949</v>
      </c>
      <c r="F125" s="4" t="s">
        <v>3</v>
      </c>
      <c r="G125" s="4" t="s">
        <v>4</v>
      </c>
      <c r="H125" s="4" t="s">
        <v>119</v>
      </c>
      <c r="I125" s="5">
        <v>43552</v>
      </c>
      <c r="J125" s="6">
        <v>0.6977662037037037</v>
      </c>
      <c r="K125" s="5">
        <v>43556</v>
      </c>
      <c r="L125" s="4" t="s">
        <v>6</v>
      </c>
      <c r="M125" s="4"/>
      <c r="N125" s="4" t="s">
        <v>950</v>
      </c>
      <c r="O125" s="4" t="s">
        <v>951</v>
      </c>
      <c r="P125" s="4" t="s">
        <v>952</v>
      </c>
      <c r="Q125" s="4" t="s">
        <v>4</v>
      </c>
      <c r="R125" s="4" t="s">
        <v>4</v>
      </c>
      <c r="S125" s="4" t="s">
        <v>10</v>
      </c>
      <c r="T125" s="4"/>
      <c r="U125" s="4"/>
      <c r="V125" s="4"/>
      <c r="W125" s="4" t="s">
        <v>27</v>
      </c>
      <c r="X125" s="17">
        <v>260000</v>
      </c>
      <c r="Y125" s="17">
        <v>260000</v>
      </c>
      <c r="Z125" s="4" t="s">
        <v>954</v>
      </c>
      <c r="AA125" s="4" t="s">
        <v>955</v>
      </c>
      <c r="AB125" s="4" t="s">
        <v>956</v>
      </c>
      <c r="AC125" s="4" t="s">
        <v>957</v>
      </c>
      <c r="AD125" s="4" t="s">
        <v>17</v>
      </c>
      <c r="AE125" s="4" t="s">
        <v>18</v>
      </c>
      <c r="AF125" s="4" t="s">
        <v>19</v>
      </c>
      <c r="AG125" s="4" t="s">
        <v>19</v>
      </c>
      <c r="AH125" s="17">
        <v>494989</v>
      </c>
    </row>
    <row r="126" spans="2:34" ht="15">
      <c r="B126" s="1" t="s">
        <v>0</v>
      </c>
      <c r="C126" s="2">
        <v>43553</v>
      </c>
      <c r="D126" s="1" t="s">
        <v>1</v>
      </c>
      <c r="E126" s="1" t="s">
        <v>958</v>
      </c>
      <c r="F126" s="1" t="s">
        <v>3</v>
      </c>
      <c r="G126" s="1" t="s">
        <v>4</v>
      </c>
      <c r="H126" s="1" t="s">
        <v>119</v>
      </c>
      <c r="I126" s="2">
        <v>43552</v>
      </c>
      <c r="J126" s="3">
        <v>0.6977662037037037</v>
      </c>
      <c r="K126" s="2">
        <v>43556</v>
      </c>
      <c r="L126" s="1" t="s">
        <v>6</v>
      </c>
      <c r="M126" s="1"/>
      <c r="N126" s="1" t="s">
        <v>950</v>
      </c>
      <c r="O126" s="1" t="s">
        <v>951</v>
      </c>
      <c r="P126" s="1" t="s">
        <v>952</v>
      </c>
      <c r="Q126" s="1" t="s">
        <v>4</v>
      </c>
      <c r="R126" s="1" t="s">
        <v>4</v>
      </c>
      <c r="S126" s="1" t="s">
        <v>10</v>
      </c>
      <c r="T126" s="1"/>
      <c r="U126" s="1"/>
      <c r="V126" s="1"/>
      <c r="W126" s="1" t="s">
        <v>27</v>
      </c>
      <c r="X126" s="16">
        <v>40000</v>
      </c>
      <c r="Y126" s="16">
        <v>40000</v>
      </c>
      <c r="Z126" s="1" t="s">
        <v>954</v>
      </c>
      <c r="AA126" s="1" t="s">
        <v>960</v>
      </c>
      <c r="AB126" s="1" t="s">
        <v>961</v>
      </c>
      <c r="AC126" s="1" t="s">
        <v>962</v>
      </c>
      <c r="AD126" s="1" t="s">
        <v>17</v>
      </c>
      <c r="AE126" s="1" t="s">
        <v>18</v>
      </c>
      <c r="AF126" s="1" t="s">
        <v>19</v>
      </c>
      <c r="AG126" s="1" t="s">
        <v>19</v>
      </c>
      <c r="AH126" s="16">
        <v>76153</v>
      </c>
    </row>
    <row r="127" spans="2:34" ht="15">
      <c r="B127" s="4" t="s">
        <v>20</v>
      </c>
      <c r="C127" s="5">
        <v>43556</v>
      </c>
      <c r="D127" s="4" t="s">
        <v>21</v>
      </c>
      <c r="E127" s="4" t="s">
        <v>963</v>
      </c>
      <c r="F127" s="4" t="s">
        <v>3</v>
      </c>
      <c r="G127" s="4" t="s">
        <v>4</v>
      </c>
      <c r="H127" s="4" t="s">
        <v>90</v>
      </c>
      <c r="I127" s="5">
        <v>43553</v>
      </c>
      <c r="J127" s="6">
        <v>0.6915856481481482</v>
      </c>
      <c r="K127" s="5">
        <v>43557</v>
      </c>
      <c r="L127" s="4" t="s">
        <v>6</v>
      </c>
      <c r="M127" s="4"/>
      <c r="N127" s="4" t="s">
        <v>91</v>
      </c>
      <c r="O127" s="4" t="s">
        <v>92</v>
      </c>
      <c r="P127" s="4" t="s">
        <v>575</v>
      </c>
      <c r="Q127" s="4" t="s">
        <v>4</v>
      </c>
      <c r="R127" s="4" t="s">
        <v>4</v>
      </c>
      <c r="S127" s="4" t="s">
        <v>10</v>
      </c>
      <c r="T127" s="4"/>
      <c r="U127" s="4"/>
      <c r="V127" s="4"/>
      <c r="W127" s="4" t="s">
        <v>11</v>
      </c>
      <c r="X127" s="17">
        <v>54490</v>
      </c>
      <c r="Y127" s="17">
        <v>54490</v>
      </c>
      <c r="Z127" s="4" t="s">
        <v>965</v>
      </c>
      <c r="AA127" s="4" t="s">
        <v>966</v>
      </c>
      <c r="AB127" s="4" t="s">
        <v>967</v>
      </c>
      <c r="AC127" s="4" t="s">
        <v>968</v>
      </c>
      <c r="AD127" s="4" t="s">
        <v>17</v>
      </c>
      <c r="AE127" s="4" t="s">
        <v>17</v>
      </c>
      <c r="AF127" s="4" t="s">
        <v>19</v>
      </c>
      <c r="AG127" s="4" t="s">
        <v>19</v>
      </c>
      <c r="AH127" s="17">
        <v>9304.592522</v>
      </c>
    </row>
    <row r="128" spans="2:34" ht="15">
      <c r="B128" s="11" t="s">
        <v>0</v>
      </c>
      <c r="C128" s="12">
        <v>43556</v>
      </c>
      <c r="D128" s="11" t="s">
        <v>1</v>
      </c>
      <c r="E128" s="11" t="s">
        <v>969</v>
      </c>
      <c r="F128" s="11" t="s">
        <v>3</v>
      </c>
      <c r="G128" s="11" t="s">
        <v>4</v>
      </c>
      <c r="H128" s="11" t="s">
        <v>90</v>
      </c>
      <c r="I128" s="12">
        <v>43553</v>
      </c>
      <c r="J128" s="13">
        <v>0.6915856481481482</v>
      </c>
      <c r="K128" s="12">
        <v>43557</v>
      </c>
      <c r="L128" s="11" t="s">
        <v>6</v>
      </c>
      <c r="M128" s="11"/>
      <c r="N128" s="11" t="s">
        <v>91</v>
      </c>
      <c r="O128" s="11" t="s">
        <v>92</v>
      </c>
      <c r="P128" s="11" t="s">
        <v>575</v>
      </c>
      <c r="Q128" s="11" t="s">
        <v>4</v>
      </c>
      <c r="R128" s="11" t="s">
        <v>4</v>
      </c>
      <c r="S128" s="11" t="s">
        <v>10</v>
      </c>
      <c r="T128" s="11"/>
      <c r="U128" s="11"/>
      <c r="V128" s="11"/>
      <c r="W128" s="11" t="s">
        <v>11</v>
      </c>
      <c r="X128" s="19">
        <v>10898</v>
      </c>
      <c r="Y128" s="19">
        <v>10898</v>
      </c>
      <c r="Z128" s="11" t="s">
        <v>965</v>
      </c>
      <c r="AA128" s="11" t="s">
        <v>971</v>
      </c>
      <c r="AB128" s="11" t="s">
        <v>972</v>
      </c>
      <c r="AC128" s="11" t="s">
        <v>973</v>
      </c>
      <c r="AD128" s="11" t="s">
        <v>17</v>
      </c>
      <c r="AE128" s="11" t="s">
        <v>17</v>
      </c>
      <c r="AF128" s="11" t="s">
        <v>19</v>
      </c>
      <c r="AG128" s="11" t="s">
        <v>19</v>
      </c>
      <c r="AH128" s="19">
        <v>1860.918504</v>
      </c>
    </row>
    <row r="129" spans="2:34" ht="15">
      <c r="B129" s="1" t="s">
        <v>20</v>
      </c>
      <c r="C129" s="2">
        <v>43556</v>
      </c>
      <c r="D129" s="1" t="s">
        <v>21</v>
      </c>
      <c r="E129" s="1" t="s">
        <v>963</v>
      </c>
      <c r="F129" s="1" t="s">
        <v>3</v>
      </c>
      <c r="G129" s="1" t="s">
        <v>4</v>
      </c>
      <c r="H129" s="1" t="s">
        <v>90</v>
      </c>
      <c r="I129" s="2">
        <v>43553</v>
      </c>
      <c r="J129" s="3">
        <v>0.6915856481481482</v>
      </c>
      <c r="K129" s="2">
        <v>43557</v>
      </c>
      <c r="L129" s="1" t="s">
        <v>6</v>
      </c>
      <c r="M129" s="1"/>
      <c r="N129" s="1" t="s">
        <v>91</v>
      </c>
      <c r="O129" s="1" t="s">
        <v>92</v>
      </c>
      <c r="P129" s="1" t="s">
        <v>575</v>
      </c>
      <c r="Q129" s="1" t="s">
        <v>4</v>
      </c>
      <c r="R129" s="1" t="s">
        <v>4</v>
      </c>
      <c r="S129" s="1" t="s">
        <v>10</v>
      </c>
      <c r="T129" s="1"/>
      <c r="U129" s="1"/>
      <c r="V129" s="1"/>
      <c r="W129" s="1" t="s">
        <v>11</v>
      </c>
      <c r="X129" s="16">
        <v>54490</v>
      </c>
      <c r="Y129" s="16">
        <v>54490</v>
      </c>
      <c r="Z129" s="1" t="s">
        <v>965</v>
      </c>
      <c r="AA129" s="1" t="s">
        <v>966</v>
      </c>
      <c r="AB129" s="1" t="s">
        <v>967</v>
      </c>
      <c r="AC129" s="1" t="s">
        <v>968</v>
      </c>
      <c r="AD129" s="1" t="s">
        <v>17</v>
      </c>
      <c r="AE129" s="1" t="s">
        <v>17</v>
      </c>
      <c r="AF129" s="1" t="s">
        <v>19</v>
      </c>
      <c r="AG129" s="1" t="s">
        <v>19</v>
      </c>
      <c r="AH129" s="16">
        <v>9304.592522</v>
      </c>
    </row>
    <row r="130" spans="2:34" ht="15">
      <c r="B130" s="4" t="s">
        <v>0</v>
      </c>
      <c r="C130" s="5">
        <v>43556</v>
      </c>
      <c r="D130" s="4" t="s">
        <v>1</v>
      </c>
      <c r="E130" s="4" t="s">
        <v>969</v>
      </c>
      <c r="F130" s="4" t="s">
        <v>3</v>
      </c>
      <c r="G130" s="4" t="s">
        <v>4</v>
      </c>
      <c r="H130" s="4" t="s">
        <v>90</v>
      </c>
      <c r="I130" s="5">
        <v>43553</v>
      </c>
      <c r="J130" s="6">
        <v>0.6915856481481482</v>
      </c>
      <c r="K130" s="5">
        <v>43557</v>
      </c>
      <c r="L130" s="4" t="s">
        <v>6</v>
      </c>
      <c r="M130" s="4"/>
      <c r="N130" s="4" t="s">
        <v>91</v>
      </c>
      <c r="O130" s="4" t="s">
        <v>92</v>
      </c>
      <c r="P130" s="4" t="s">
        <v>575</v>
      </c>
      <c r="Q130" s="4" t="s">
        <v>4</v>
      </c>
      <c r="R130" s="4" t="s">
        <v>4</v>
      </c>
      <c r="S130" s="4" t="s">
        <v>10</v>
      </c>
      <c r="T130" s="4"/>
      <c r="U130" s="4"/>
      <c r="V130" s="4"/>
      <c r="W130" s="4" t="s">
        <v>11</v>
      </c>
      <c r="X130" s="17">
        <v>10898</v>
      </c>
      <c r="Y130" s="17">
        <v>10898</v>
      </c>
      <c r="Z130" s="4" t="s">
        <v>965</v>
      </c>
      <c r="AA130" s="4" t="s">
        <v>971</v>
      </c>
      <c r="AB130" s="4" t="s">
        <v>972</v>
      </c>
      <c r="AC130" s="4" t="s">
        <v>973</v>
      </c>
      <c r="AD130" s="4" t="s">
        <v>17</v>
      </c>
      <c r="AE130" s="4" t="s">
        <v>17</v>
      </c>
      <c r="AF130" s="4" t="s">
        <v>19</v>
      </c>
      <c r="AG130" s="4" t="s">
        <v>19</v>
      </c>
      <c r="AH130" s="17">
        <v>1860.918504</v>
      </c>
    </row>
    <row r="131" spans="2:34" ht="15">
      <c r="B131" s="4" t="s">
        <v>20</v>
      </c>
      <c r="C131" s="5">
        <v>43557</v>
      </c>
      <c r="D131" s="4" t="s">
        <v>21</v>
      </c>
      <c r="E131" s="4" t="s">
        <v>974</v>
      </c>
      <c r="F131" s="4" t="s">
        <v>3</v>
      </c>
      <c r="G131" s="4" t="s">
        <v>4</v>
      </c>
      <c r="H131" s="4" t="s">
        <v>914</v>
      </c>
      <c r="I131" s="5">
        <v>43551</v>
      </c>
      <c r="J131" s="6">
        <v>0.38358796296296294</v>
      </c>
      <c r="K131" s="5">
        <v>43557</v>
      </c>
      <c r="L131" s="4" t="s">
        <v>6</v>
      </c>
      <c r="M131" s="4"/>
      <c r="N131" s="4" t="s">
        <v>975</v>
      </c>
      <c r="O131" s="4" t="s">
        <v>915</v>
      </c>
      <c r="P131" s="4" t="s">
        <v>916</v>
      </c>
      <c r="Q131" s="4" t="s">
        <v>4</v>
      </c>
      <c r="R131" s="4" t="s">
        <v>85</v>
      </c>
      <c r="S131" s="4" t="s">
        <v>4</v>
      </c>
      <c r="T131" s="4"/>
      <c r="U131" s="4"/>
      <c r="V131" s="4"/>
      <c r="W131" s="4" t="s">
        <v>27</v>
      </c>
      <c r="X131" s="17">
        <v>220000</v>
      </c>
      <c r="Y131" s="17">
        <v>220000</v>
      </c>
      <c r="Z131" s="4" t="s">
        <v>918</v>
      </c>
      <c r="AA131" s="4" t="s">
        <v>919</v>
      </c>
      <c r="AB131" s="4" t="s">
        <v>920</v>
      </c>
      <c r="AC131" s="4" t="s">
        <v>921</v>
      </c>
      <c r="AD131" s="4" t="s">
        <v>17</v>
      </c>
      <c r="AE131" s="4" t="s">
        <v>18</v>
      </c>
      <c r="AF131" s="4" t="s">
        <v>19</v>
      </c>
      <c r="AG131" s="4" t="s">
        <v>19</v>
      </c>
      <c r="AH131" s="17">
        <v>495595</v>
      </c>
    </row>
    <row r="132" spans="2:34" ht="15">
      <c r="B132" s="1" t="s">
        <v>153</v>
      </c>
      <c r="C132" s="2">
        <v>43557</v>
      </c>
      <c r="D132" s="1" t="s">
        <v>154</v>
      </c>
      <c r="E132" s="1" t="s">
        <v>976</v>
      </c>
      <c r="F132" s="1" t="s">
        <v>3</v>
      </c>
      <c r="G132" s="1" t="s">
        <v>4</v>
      </c>
      <c r="H132" s="1" t="s">
        <v>119</v>
      </c>
      <c r="I132" s="2">
        <v>43556</v>
      </c>
      <c r="J132" s="3">
        <v>0.4655902777777778</v>
      </c>
      <c r="K132" s="2">
        <v>43558</v>
      </c>
      <c r="L132" s="1" t="s">
        <v>6</v>
      </c>
      <c r="M132" s="1"/>
      <c r="N132" s="1" t="s">
        <v>977</v>
      </c>
      <c r="O132" s="1" t="s">
        <v>978</v>
      </c>
      <c r="P132" s="1" t="s">
        <v>979</v>
      </c>
      <c r="Q132" s="1" t="s">
        <v>4</v>
      </c>
      <c r="R132" s="1" t="s">
        <v>4</v>
      </c>
      <c r="S132" s="1" t="s">
        <v>10</v>
      </c>
      <c r="T132" s="1"/>
      <c r="U132" s="1"/>
      <c r="V132" s="1"/>
      <c r="W132" s="1" t="s">
        <v>27</v>
      </c>
      <c r="X132" s="16">
        <v>12000</v>
      </c>
      <c r="Y132" s="16">
        <v>12000</v>
      </c>
      <c r="Z132" s="1" t="s">
        <v>981</v>
      </c>
      <c r="AA132" s="1" t="s">
        <v>982</v>
      </c>
      <c r="AB132" s="1" t="s">
        <v>983</v>
      </c>
      <c r="AC132" s="1" t="s">
        <v>984</v>
      </c>
      <c r="AD132" s="1" t="s">
        <v>17</v>
      </c>
      <c r="AE132" s="1" t="s">
        <v>985</v>
      </c>
      <c r="AF132" s="1" t="s">
        <v>19</v>
      </c>
      <c r="AG132" s="1" t="s">
        <v>19</v>
      </c>
      <c r="AH132" s="16">
        <v>26102.7</v>
      </c>
    </row>
    <row r="133" spans="2:34" ht="15">
      <c r="B133" s="4" t="s">
        <v>20</v>
      </c>
      <c r="C133" s="5">
        <v>43559</v>
      </c>
      <c r="D133" s="4" t="s">
        <v>21</v>
      </c>
      <c r="E133" s="4" t="s">
        <v>986</v>
      </c>
      <c r="F133" s="4" t="s">
        <v>3</v>
      </c>
      <c r="G133" s="4" t="s">
        <v>4</v>
      </c>
      <c r="H133" s="4" t="s">
        <v>90</v>
      </c>
      <c r="I133" s="5">
        <v>43558</v>
      </c>
      <c r="J133" s="6">
        <v>0.7015046296296297</v>
      </c>
      <c r="K133" s="5">
        <v>43560</v>
      </c>
      <c r="L133" s="4" t="s">
        <v>6</v>
      </c>
      <c r="M133" s="4"/>
      <c r="N133" s="4" t="s">
        <v>91</v>
      </c>
      <c r="O133" s="4" t="s">
        <v>92</v>
      </c>
      <c r="P133" s="4" t="s">
        <v>575</v>
      </c>
      <c r="Q133" s="4" t="s">
        <v>4</v>
      </c>
      <c r="R133" s="4" t="s">
        <v>4</v>
      </c>
      <c r="S133" s="4" t="s">
        <v>10</v>
      </c>
      <c r="T133" s="4"/>
      <c r="U133" s="4"/>
      <c r="V133" s="4"/>
      <c r="W133" s="4" t="s">
        <v>11</v>
      </c>
      <c r="X133" s="17">
        <v>2771108</v>
      </c>
      <c r="Y133" s="17">
        <v>2771108</v>
      </c>
      <c r="Z133" s="4" t="s">
        <v>988</v>
      </c>
      <c r="AA133" s="4" t="s">
        <v>989</v>
      </c>
      <c r="AB133" s="4" t="s">
        <v>990</v>
      </c>
      <c r="AC133" s="4" t="s">
        <v>991</v>
      </c>
      <c r="AD133" s="4" t="s">
        <v>17</v>
      </c>
      <c r="AE133" s="4" t="s">
        <v>18</v>
      </c>
      <c r="AF133" s="4" t="s">
        <v>19</v>
      </c>
      <c r="AG133" s="4" t="s">
        <v>19</v>
      </c>
      <c r="AH133" s="17">
        <v>370623.543</v>
      </c>
    </row>
    <row r="134" spans="2:34" ht="15">
      <c r="B134" s="1" t="s">
        <v>0</v>
      </c>
      <c r="C134" s="2">
        <v>43559</v>
      </c>
      <c r="D134" s="1" t="s">
        <v>1</v>
      </c>
      <c r="E134" s="1" t="s">
        <v>992</v>
      </c>
      <c r="F134" s="1" t="s">
        <v>3</v>
      </c>
      <c r="G134" s="1" t="s">
        <v>4</v>
      </c>
      <c r="H134" s="1" t="s">
        <v>90</v>
      </c>
      <c r="I134" s="2">
        <v>43558</v>
      </c>
      <c r="J134" s="3">
        <v>0.7015046296296297</v>
      </c>
      <c r="K134" s="2">
        <v>43560</v>
      </c>
      <c r="L134" s="1" t="s">
        <v>6</v>
      </c>
      <c r="M134" s="1"/>
      <c r="N134" s="1" t="s">
        <v>91</v>
      </c>
      <c r="O134" s="1" t="s">
        <v>92</v>
      </c>
      <c r="P134" s="1" t="s">
        <v>575</v>
      </c>
      <c r="Q134" s="1" t="s">
        <v>4</v>
      </c>
      <c r="R134" s="1" t="s">
        <v>4</v>
      </c>
      <c r="S134" s="1" t="s">
        <v>10</v>
      </c>
      <c r="T134" s="1"/>
      <c r="U134" s="1"/>
      <c r="V134" s="1"/>
      <c r="W134" s="1" t="s">
        <v>11</v>
      </c>
      <c r="X134" s="16">
        <v>554223</v>
      </c>
      <c r="Y134" s="16">
        <v>554223</v>
      </c>
      <c r="Z134" s="1" t="s">
        <v>988</v>
      </c>
      <c r="AA134" s="1" t="s">
        <v>994</v>
      </c>
      <c r="AB134" s="1" t="s">
        <v>995</v>
      </c>
      <c r="AC134" s="1" t="s">
        <v>996</v>
      </c>
      <c r="AD134" s="1" t="s">
        <v>17</v>
      </c>
      <c r="AE134" s="1" t="s">
        <v>18</v>
      </c>
      <c r="AF134" s="1" t="s">
        <v>19</v>
      </c>
      <c r="AG134" s="1" t="s">
        <v>19</v>
      </c>
      <c r="AH134" s="16">
        <v>74124.09384</v>
      </c>
    </row>
    <row r="135" spans="2:34" ht="15">
      <c r="B135" s="1" t="s">
        <v>20</v>
      </c>
      <c r="C135" s="2">
        <v>43565</v>
      </c>
      <c r="D135" s="1" t="s">
        <v>21</v>
      </c>
      <c r="E135" s="1" t="s">
        <v>997</v>
      </c>
      <c r="F135" s="1" t="s">
        <v>3</v>
      </c>
      <c r="G135" s="1" t="s">
        <v>4</v>
      </c>
      <c r="H135" s="1" t="s">
        <v>126</v>
      </c>
      <c r="I135" s="2">
        <v>43549</v>
      </c>
      <c r="J135" s="3">
        <v>0.5125</v>
      </c>
      <c r="K135" s="2">
        <v>43565</v>
      </c>
      <c r="L135" s="1" t="s">
        <v>6</v>
      </c>
      <c r="M135" s="1"/>
      <c r="N135" s="1" t="s">
        <v>998</v>
      </c>
      <c r="O135" s="1" t="s">
        <v>895</v>
      </c>
      <c r="P135" s="1" t="s">
        <v>896</v>
      </c>
      <c r="Q135" s="1" t="s">
        <v>4</v>
      </c>
      <c r="R135" s="1" t="s">
        <v>85</v>
      </c>
      <c r="S135" s="1" t="s">
        <v>4</v>
      </c>
      <c r="T135" s="1"/>
      <c r="U135" s="1"/>
      <c r="V135" s="1"/>
      <c r="W135" s="1" t="s">
        <v>27</v>
      </c>
      <c r="X135" s="16">
        <v>1190476</v>
      </c>
      <c r="Y135" s="16">
        <v>1190476</v>
      </c>
      <c r="Z135" s="1" t="s">
        <v>898</v>
      </c>
      <c r="AA135" s="1" t="s">
        <v>899</v>
      </c>
      <c r="AB135" s="1" t="s">
        <v>899</v>
      </c>
      <c r="AC135" s="1" t="s">
        <v>17</v>
      </c>
      <c r="AD135" s="1" t="s">
        <v>17</v>
      </c>
      <c r="AE135" s="1" t="s">
        <v>17</v>
      </c>
      <c r="AF135" s="1" t="s">
        <v>19</v>
      </c>
      <c r="AG135" s="1" t="s">
        <v>19</v>
      </c>
      <c r="AH135" s="16">
        <v>999999.84</v>
      </c>
    </row>
    <row r="136" spans="2:34" ht="15">
      <c r="B136" s="4" t="s">
        <v>0</v>
      </c>
      <c r="C136" s="5">
        <v>43567</v>
      </c>
      <c r="D136" s="4" t="s">
        <v>1</v>
      </c>
      <c r="E136" s="4" t="s">
        <v>999</v>
      </c>
      <c r="F136" s="4" t="s">
        <v>3</v>
      </c>
      <c r="G136" s="4" t="s">
        <v>4</v>
      </c>
      <c r="H136" s="4" t="s">
        <v>90</v>
      </c>
      <c r="I136" s="5">
        <v>43566</v>
      </c>
      <c r="J136" s="6">
        <v>0.6256481481481482</v>
      </c>
      <c r="K136" s="5">
        <v>43570</v>
      </c>
      <c r="L136" s="4" t="s">
        <v>6</v>
      </c>
      <c r="M136" s="4"/>
      <c r="N136" s="4" t="s">
        <v>307</v>
      </c>
      <c r="O136" s="4" t="s">
        <v>308</v>
      </c>
      <c r="P136" s="4" t="s">
        <v>309</v>
      </c>
      <c r="Q136" s="4" t="s">
        <v>4</v>
      </c>
      <c r="R136" s="4" t="s">
        <v>4</v>
      </c>
      <c r="S136" s="4" t="s">
        <v>10</v>
      </c>
      <c r="T136" s="4"/>
      <c r="U136" s="4"/>
      <c r="V136" s="4"/>
      <c r="W136" s="4" t="s">
        <v>27</v>
      </c>
      <c r="X136" s="17">
        <v>66878</v>
      </c>
      <c r="Y136" s="17">
        <v>66878</v>
      </c>
      <c r="Z136" s="4" t="s">
        <v>512</v>
      </c>
      <c r="AA136" s="4" t="s">
        <v>1001</v>
      </c>
      <c r="AB136" s="4" t="s">
        <v>1002</v>
      </c>
      <c r="AC136" s="4" t="s">
        <v>1003</v>
      </c>
      <c r="AD136" s="4" t="s">
        <v>17</v>
      </c>
      <c r="AE136" s="4" t="s">
        <v>18</v>
      </c>
      <c r="AF136" s="4" t="s">
        <v>19</v>
      </c>
      <c r="AG136" s="4" t="s">
        <v>19</v>
      </c>
      <c r="AH136" s="17">
        <v>147426.8632</v>
      </c>
    </row>
    <row r="137" spans="2:34" ht="15">
      <c r="B137" s="1" t="s">
        <v>20</v>
      </c>
      <c r="C137" s="2">
        <v>43570</v>
      </c>
      <c r="D137" s="1" t="s">
        <v>21</v>
      </c>
      <c r="E137" s="1" t="s">
        <v>1004</v>
      </c>
      <c r="F137" s="1" t="s">
        <v>3</v>
      </c>
      <c r="G137" s="1" t="s">
        <v>4</v>
      </c>
      <c r="H137" s="1" t="s">
        <v>90</v>
      </c>
      <c r="I137" s="2">
        <v>43567</v>
      </c>
      <c r="J137" s="3">
        <v>0.6925</v>
      </c>
      <c r="K137" s="2">
        <v>43571</v>
      </c>
      <c r="L137" s="1" t="s">
        <v>6</v>
      </c>
      <c r="M137" s="1"/>
      <c r="N137" s="1" t="s">
        <v>307</v>
      </c>
      <c r="O137" s="1" t="s">
        <v>308</v>
      </c>
      <c r="P137" s="1" t="s">
        <v>309</v>
      </c>
      <c r="Q137" s="1" t="s">
        <v>4</v>
      </c>
      <c r="R137" s="1" t="s">
        <v>4</v>
      </c>
      <c r="S137" s="1" t="s">
        <v>10</v>
      </c>
      <c r="T137" s="1"/>
      <c r="U137" s="1"/>
      <c r="V137" s="1"/>
      <c r="W137" s="1" t="s">
        <v>11</v>
      </c>
      <c r="X137" s="16">
        <v>159500</v>
      </c>
      <c r="Y137" s="16">
        <v>159500</v>
      </c>
      <c r="Z137" s="1" t="s">
        <v>512</v>
      </c>
      <c r="AA137" s="1" t="s">
        <v>1006</v>
      </c>
      <c r="AB137" s="1" t="s">
        <v>1007</v>
      </c>
      <c r="AC137" s="1" t="s">
        <v>1008</v>
      </c>
      <c r="AD137" s="1" t="s">
        <v>17</v>
      </c>
      <c r="AE137" s="1" t="s">
        <v>18</v>
      </c>
      <c r="AF137" s="1" t="s">
        <v>19</v>
      </c>
      <c r="AG137" s="1" t="s">
        <v>19</v>
      </c>
      <c r="AH137" s="16">
        <v>350197.2</v>
      </c>
    </row>
    <row r="138" spans="2:34" ht="15">
      <c r="B138" s="4" t="s">
        <v>20</v>
      </c>
      <c r="C138" s="5">
        <v>43572</v>
      </c>
      <c r="D138" s="4" t="s">
        <v>21</v>
      </c>
      <c r="E138" s="4" t="s">
        <v>1009</v>
      </c>
      <c r="F138" s="4" t="s">
        <v>3</v>
      </c>
      <c r="G138" s="4" t="s">
        <v>4</v>
      </c>
      <c r="H138" s="4" t="s">
        <v>109</v>
      </c>
      <c r="I138" s="5">
        <v>43571</v>
      </c>
      <c r="J138" s="6">
        <v>0.65625</v>
      </c>
      <c r="K138" s="5">
        <v>43573</v>
      </c>
      <c r="L138" s="4" t="s">
        <v>6</v>
      </c>
      <c r="M138" s="4"/>
      <c r="N138" s="4" t="s">
        <v>1010</v>
      </c>
      <c r="O138" s="4" t="s">
        <v>1011</v>
      </c>
      <c r="P138" s="4" t="s">
        <v>1012</v>
      </c>
      <c r="Q138" s="4" t="s">
        <v>4</v>
      </c>
      <c r="R138" s="4" t="s">
        <v>4</v>
      </c>
      <c r="S138" s="4" t="s">
        <v>10</v>
      </c>
      <c r="T138" s="4"/>
      <c r="U138" s="4"/>
      <c r="V138" s="4"/>
      <c r="W138" s="4" t="s">
        <v>11</v>
      </c>
      <c r="X138" s="17">
        <v>17500</v>
      </c>
      <c r="Y138" s="17">
        <v>17500</v>
      </c>
      <c r="Z138" s="4" t="s">
        <v>1014</v>
      </c>
      <c r="AA138" s="4" t="s">
        <v>1015</v>
      </c>
      <c r="AB138" s="4" t="s">
        <v>1016</v>
      </c>
      <c r="AC138" s="4" t="s">
        <v>1017</v>
      </c>
      <c r="AD138" s="4" t="s">
        <v>17</v>
      </c>
      <c r="AE138" s="4" t="s">
        <v>18</v>
      </c>
      <c r="AF138" s="4" t="s">
        <v>19</v>
      </c>
      <c r="AG138" s="4" t="s">
        <v>19</v>
      </c>
      <c r="AH138" s="17">
        <v>17135.658</v>
      </c>
    </row>
    <row r="139" spans="2:34" ht="15">
      <c r="B139" s="1" t="s">
        <v>20</v>
      </c>
      <c r="C139" s="2">
        <v>43572</v>
      </c>
      <c r="D139" s="1" t="s">
        <v>21</v>
      </c>
      <c r="E139" s="1" t="s">
        <v>1018</v>
      </c>
      <c r="F139" s="1" t="s">
        <v>3</v>
      </c>
      <c r="G139" s="1" t="s">
        <v>4</v>
      </c>
      <c r="H139" s="1" t="s">
        <v>90</v>
      </c>
      <c r="I139" s="2">
        <v>43571</v>
      </c>
      <c r="J139" s="3">
        <v>0.6939467592592593</v>
      </c>
      <c r="K139" s="2">
        <v>43573</v>
      </c>
      <c r="L139" s="1" t="s">
        <v>6</v>
      </c>
      <c r="M139" s="1"/>
      <c r="N139" s="1" t="s">
        <v>307</v>
      </c>
      <c r="O139" s="1" t="s">
        <v>308</v>
      </c>
      <c r="P139" s="1" t="s">
        <v>309</v>
      </c>
      <c r="Q139" s="1" t="s">
        <v>4</v>
      </c>
      <c r="R139" s="1" t="s">
        <v>4</v>
      </c>
      <c r="S139" s="1" t="s">
        <v>10</v>
      </c>
      <c r="T139" s="1"/>
      <c r="U139" s="1"/>
      <c r="V139" s="1"/>
      <c r="W139" s="1" t="s">
        <v>11</v>
      </c>
      <c r="X139" s="16">
        <v>753934</v>
      </c>
      <c r="Y139" s="16">
        <v>753934</v>
      </c>
      <c r="Z139" s="1" t="s">
        <v>1020</v>
      </c>
      <c r="AA139" s="1" t="s">
        <v>1021</v>
      </c>
      <c r="AB139" s="1" t="s">
        <v>1022</v>
      </c>
      <c r="AC139" s="1" t="s">
        <v>1023</v>
      </c>
      <c r="AD139" s="1" t="s">
        <v>17</v>
      </c>
      <c r="AE139" s="1" t="s">
        <v>18</v>
      </c>
      <c r="AF139" s="1" t="s">
        <v>19</v>
      </c>
      <c r="AG139" s="1" t="s">
        <v>19</v>
      </c>
      <c r="AH139" s="16">
        <v>1666892.251</v>
      </c>
    </row>
    <row r="140" spans="2:34" ht="15">
      <c r="B140" s="4" t="s">
        <v>20</v>
      </c>
      <c r="C140" s="5">
        <v>43573</v>
      </c>
      <c r="D140" s="4" t="s">
        <v>21</v>
      </c>
      <c r="E140" s="4" t="s">
        <v>1024</v>
      </c>
      <c r="F140" s="4" t="s">
        <v>3</v>
      </c>
      <c r="G140" s="4" t="s">
        <v>4</v>
      </c>
      <c r="H140" s="4" t="s">
        <v>632</v>
      </c>
      <c r="I140" s="5">
        <v>43572</v>
      </c>
      <c r="J140" s="6">
        <v>0.513449074074074</v>
      </c>
      <c r="K140" s="5">
        <v>43578</v>
      </c>
      <c r="L140" s="4" t="s">
        <v>6</v>
      </c>
      <c r="M140" s="4"/>
      <c r="N140" s="4" t="s">
        <v>876</v>
      </c>
      <c r="O140" s="4" t="s">
        <v>877</v>
      </c>
      <c r="P140" s="4" t="s">
        <v>878</v>
      </c>
      <c r="Q140" s="4" t="s">
        <v>4</v>
      </c>
      <c r="R140" s="4" t="s">
        <v>4</v>
      </c>
      <c r="S140" s="4" t="s">
        <v>10</v>
      </c>
      <c r="T140" s="4"/>
      <c r="U140" s="4"/>
      <c r="V140" s="4"/>
      <c r="W140" s="4" t="s">
        <v>11</v>
      </c>
      <c r="X140" s="17">
        <v>100000</v>
      </c>
      <c r="Y140" s="17">
        <v>100000</v>
      </c>
      <c r="Z140" s="4" t="s">
        <v>1026</v>
      </c>
      <c r="AA140" s="4" t="s">
        <v>1027</v>
      </c>
      <c r="AB140" s="4" t="s">
        <v>1028</v>
      </c>
      <c r="AC140" s="4" t="s">
        <v>1029</v>
      </c>
      <c r="AD140" s="4" t="s">
        <v>17</v>
      </c>
      <c r="AE140" s="4" t="s">
        <v>18</v>
      </c>
      <c r="AF140" s="4" t="s">
        <v>19</v>
      </c>
      <c r="AG140" s="4" t="s">
        <v>19</v>
      </c>
      <c r="AH140" s="17">
        <v>140717</v>
      </c>
    </row>
    <row r="141" spans="2:34" ht="15">
      <c r="B141" s="1" t="s">
        <v>0</v>
      </c>
      <c r="C141" s="2">
        <v>43573</v>
      </c>
      <c r="D141" s="1" t="s">
        <v>1</v>
      </c>
      <c r="E141" s="1" t="s">
        <v>1030</v>
      </c>
      <c r="F141" s="1" t="s">
        <v>3</v>
      </c>
      <c r="G141" s="1" t="s">
        <v>4</v>
      </c>
      <c r="H141" s="1" t="s">
        <v>1366</v>
      </c>
      <c r="I141" s="2">
        <v>43572</v>
      </c>
      <c r="J141" s="3">
        <v>0.5076388888888889</v>
      </c>
      <c r="K141" s="2">
        <v>43578</v>
      </c>
      <c r="L141" s="1" t="s">
        <v>6</v>
      </c>
      <c r="M141" s="1"/>
      <c r="N141" s="1" t="s">
        <v>401</v>
      </c>
      <c r="O141" s="1" t="s">
        <v>402</v>
      </c>
      <c r="P141" s="1" t="s">
        <v>403</v>
      </c>
      <c r="Q141" s="1" t="s">
        <v>4</v>
      </c>
      <c r="R141" s="1" t="s">
        <v>4</v>
      </c>
      <c r="S141" s="1" t="s">
        <v>10</v>
      </c>
      <c r="T141" s="1"/>
      <c r="U141" s="1"/>
      <c r="V141" s="1"/>
      <c r="W141" s="1" t="s">
        <v>27</v>
      </c>
      <c r="X141" s="16">
        <v>1000000</v>
      </c>
      <c r="Y141" s="16">
        <v>1000000</v>
      </c>
      <c r="Z141" s="1" t="s">
        <v>1032</v>
      </c>
      <c r="AA141" s="1" t="s">
        <v>1033</v>
      </c>
      <c r="AB141" s="1" t="s">
        <v>1034</v>
      </c>
      <c r="AC141" s="1" t="s">
        <v>1035</v>
      </c>
      <c r="AD141" s="1" t="s">
        <v>17</v>
      </c>
      <c r="AE141" s="1" t="s">
        <v>18</v>
      </c>
      <c r="AF141" s="1" t="s">
        <v>19</v>
      </c>
      <c r="AG141" s="1" t="s">
        <v>19</v>
      </c>
      <c r="AH141" s="16">
        <v>155311</v>
      </c>
    </row>
    <row r="142" spans="2:34" ht="15">
      <c r="B142" s="4" t="s">
        <v>153</v>
      </c>
      <c r="C142" s="5">
        <v>43573</v>
      </c>
      <c r="D142" s="4" t="s">
        <v>154</v>
      </c>
      <c r="E142" s="4" t="s">
        <v>1036</v>
      </c>
      <c r="F142" s="4" t="s">
        <v>3</v>
      </c>
      <c r="G142" s="4" t="s">
        <v>4</v>
      </c>
      <c r="H142" s="4" t="s">
        <v>1366</v>
      </c>
      <c r="I142" s="5">
        <v>43572</v>
      </c>
      <c r="J142" s="6">
        <v>0.5076388888888889</v>
      </c>
      <c r="K142" s="5">
        <v>43578</v>
      </c>
      <c r="L142" s="4" t="s">
        <v>6</v>
      </c>
      <c r="M142" s="4"/>
      <c r="N142" s="4" t="s">
        <v>401</v>
      </c>
      <c r="O142" s="4" t="s">
        <v>402</v>
      </c>
      <c r="P142" s="4" t="s">
        <v>403</v>
      </c>
      <c r="Q142" s="4" t="s">
        <v>4</v>
      </c>
      <c r="R142" s="4" t="s">
        <v>4</v>
      </c>
      <c r="S142" s="4" t="s">
        <v>10</v>
      </c>
      <c r="T142" s="4"/>
      <c r="U142" s="4"/>
      <c r="V142" s="4"/>
      <c r="W142" s="4" t="s">
        <v>27</v>
      </c>
      <c r="X142" s="17">
        <v>32000</v>
      </c>
      <c r="Y142" s="17">
        <v>32000</v>
      </c>
      <c r="Z142" s="4" t="s">
        <v>1032</v>
      </c>
      <c r="AA142" s="4" t="s">
        <v>1038</v>
      </c>
      <c r="AB142" s="4" t="s">
        <v>1039</v>
      </c>
      <c r="AC142" s="4" t="s">
        <v>1040</v>
      </c>
      <c r="AD142" s="4" t="s">
        <v>17</v>
      </c>
      <c r="AE142" s="4" t="s">
        <v>17</v>
      </c>
      <c r="AF142" s="4" t="s">
        <v>19</v>
      </c>
      <c r="AG142" s="4" t="s">
        <v>19</v>
      </c>
      <c r="AH142" s="17">
        <v>4969.92</v>
      </c>
    </row>
    <row r="143" spans="2:34" ht="15">
      <c r="B143" s="1" t="s">
        <v>20</v>
      </c>
      <c r="C143" s="2">
        <v>43578</v>
      </c>
      <c r="D143" s="1" t="s">
        <v>21</v>
      </c>
      <c r="E143" s="1" t="s">
        <v>1041</v>
      </c>
      <c r="F143" s="1" t="s">
        <v>3</v>
      </c>
      <c r="G143" s="1" t="s">
        <v>4</v>
      </c>
      <c r="H143" s="1" t="s">
        <v>183</v>
      </c>
      <c r="I143" s="2">
        <v>43573</v>
      </c>
      <c r="J143" s="3">
        <v>0.4888425925925926</v>
      </c>
      <c r="K143" s="2">
        <v>43579</v>
      </c>
      <c r="L143" s="1" t="s">
        <v>6</v>
      </c>
      <c r="M143" s="1"/>
      <c r="N143" s="1" t="s">
        <v>538</v>
      </c>
      <c r="O143" s="1" t="s">
        <v>539</v>
      </c>
      <c r="P143" s="1" t="s">
        <v>540</v>
      </c>
      <c r="Q143" s="1" t="s">
        <v>4</v>
      </c>
      <c r="R143" s="1" t="s">
        <v>4</v>
      </c>
      <c r="S143" s="1" t="s">
        <v>10</v>
      </c>
      <c r="T143" s="1"/>
      <c r="U143" s="1"/>
      <c r="V143" s="1"/>
      <c r="W143" s="1" t="s">
        <v>11</v>
      </c>
      <c r="X143" s="16">
        <v>125000</v>
      </c>
      <c r="Y143" s="16">
        <v>125000</v>
      </c>
      <c r="Z143" s="1" t="s">
        <v>1043</v>
      </c>
      <c r="AA143" s="1" t="s">
        <v>1044</v>
      </c>
      <c r="AB143" s="1" t="s">
        <v>1045</v>
      </c>
      <c r="AC143" s="1" t="s">
        <v>1046</v>
      </c>
      <c r="AD143" s="1" t="s">
        <v>17</v>
      </c>
      <c r="AE143" s="1" t="s">
        <v>18</v>
      </c>
      <c r="AF143" s="1" t="s">
        <v>19</v>
      </c>
      <c r="AG143" s="1" t="s">
        <v>19</v>
      </c>
      <c r="AH143" s="16">
        <v>14969</v>
      </c>
    </row>
    <row r="144" spans="2:34" ht="15">
      <c r="B144" s="4" t="s">
        <v>20</v>
      </c>
      <c r="C144" s="5">
        <v>43578</v>
      </c>
      <c r="D144" s="4" t="s">
        <v>21</v>
      </c>
      <c r="E144" s="4" t="s">
        <v>1047</v>
      </c>
      <c r="F144" s="4" t="s">
        <v>3</v>
      </c>
      <c r="G144" s="4" t="s">
        <v>4</v>
      </c>
      <c r="H144" s="4" t="s">
        <v>109</v>
      </c>
      <c r="I144" s="5">
        <v>43573</v>
      </c>
      <c r="J144" s="6">
        <v>0.5145833333333333</v>
      </c>
      <c r="K144" s="5">
        <v>43579</v>
      </c>
      <c r="L144" s="4" t="s">
        <v>6</v>
      </c>
      <c r="M144" s="4"/>
      <c r="N144" s="4" t="s">
        <v>1010</v>
      </c>
      <c r="O144" s="4" t="s">
        <v>1011</v>
      </c>
      <c r="P144" s="4" t="s">
        <v>1012</v>
      </c>
      <c r="Q144" s="4" t="s">
        <v>4</v>
      </c>
      <c r="R144" s="4" t="s">
        <v>4</v>
      </c>
      <c r="S144" s="4" t="s">
        <v>10</v>
      </c>
      <c r="T144" s="4"/>
      <c r="U144" s="4"/>
      <c r="V144" s="4"/>
      <c r="W144" s="4" t="s">
        <v>11</v>
      </c>
      <c r="X144" s="17">
        <v>15000</v>
      </c>
      <c r="Y144" s="17">
        <v>15000</v>
      </c>
      <c r="Z144" s="4" t="s">
        <v>1048</v>
      </c>
      <c r="AA144" s="4" t="s">
        <v>1049</v>
      </c>
      <c r="AB144" s="4" t="s">
        <v>1050</v>
      </c>
      <c r="AC144" s="4" t="s">
        <v>1051</v>
      </c>
      <c r="AD144" s="4" t="s">
        <v>17</v>
      </c>
      <c r="AE144" s="4" t="s">
        <v>18</v>
      </c>
      <c r="AF144" s="4" t="s">
        <v>19</v>
      </c>
      <c r="AG144" s="4" t="s">
        <v>19</v>
      </c>
      <c r="AH144" s="17">
        <v>14669.6</v>
      </c>
    </row>
    <row r="145" spans="2:34" ht="15">
      <c r="B145" s="1" t="s">
        <v>20</v>
      </c>
      <c r="C145" s="2">
        <v>43578</v>
      </c>
      <c r="D145" s="1" t="s">
        <v>21</v>
      </c>
      <c r="E145" s="1" t="s">
        <v>1052</v>
      </c>
      <c r="F145" s="1" t="s">
        <v>3</v>
      </c>
      <c r="G145" s="1" t="s">
        <v>4</v>
      </c>
      <c r="H145" s="1" t="s">
        <v>90</v>
      </c>
      <c r="I145" s="2">
        <v>43573</v>
      </c>
      <c r="J145" s="3">
        <v>0.6937037037037037</v>
      </c>
      <c r="K145" s="2">
        <v>43579</v>
      </c>
      <c r="L145" s="1" t="s">
        <v>6</v>
      </c>
      <c r="M145" s="1"/>
      <c r="N145" s="1" t="s">
        <v>307</v>
      </c>
      <c r="O145" s="1" t="s">
        <v>308</v>
      </c>
      <c r="P145" s="1" t="s">
        <v>309</v>
      </c>
      <c r="Q145" s="1" t="s">
        <v>4</v>
      </c>
      <c r="R145" s="1" t="s">
        <v>4</v>
      </c>
      <c r="S145" s="1" t="s">
        <v>10</v>
      </c>
      <c r="T145" s="1"/>
      <c r="U145" s="1"/>
      <c r="V145" s="1"/>
      <c r="W145" s="1" t="s">
        <v>11</v>
      </c>
      <c r="X145" s="16">
        <v>72000</v>
      </c>
      <c r="Y145" s="16">
        <v>72000</v>
      </c>
      <c r="Z145" s="1" t="s">
        <v>1054</v>
      </c>
      <c r="AA145" s="1" t="s">
        <v>1055</v>
      </c>
      <c r="AB145" s="1" t="s">
        <v>1056</v>
      </c>
      <c r="AC145" s="1" t="s">
        <v>1057</v>
      </c>
      <c r="AD145" s="1" t="s">
        <v>17</v>
      </c>
      <c r="AE145" s="1" t="s">
        <v>18</v>
      </c>
      <c r="AF145" s="1" t="s">
        <v>19</v>
      </c>
      <c r="AG145" s="1" t="s">
        <v>19</v>
      </c>
      <c r="AH145" s="16">
        <v>159718.936</v>
      </c>
    </row>
    <row r="146" spans="2:34" ht="15">
      <c r="B146" s="4" t="s">
        <v>20</v>
      </c>
      <c r="C146" s="5">
        <v>43579</v>
      </c>
      <c r="D146" s="4" t="s">
        <v>21</v>
      </c>
      <c r="E146" s="4" t="s">
        <v>1058</v>
      </c>
      <c r="F146" s="4" t="s">
        <v>3</v>
      </c>
      <c r="G146" s="4" t="s">
        <v>4</v>
      </c>
      <c r="H146" s="4" t="s">
        <v>632</v>
      </c>
      <c r="I146" s="5">
        <v>43579</v>
      </c>
      <c r="J146" s="6">
        <v>0.4134953703703704</v>
      </c>
      <c r="K146" s="5">
        <v>43581</v>
      </c>
      <c r="L146" s="4" t="s">
        <v>6</v>
      </c>
      <c r="M146" s="4"/>
      <c r="N146" s="4" t="s">
        <v>876</v>
      </c>
      <c r="O146" s="4" t="s">
        <v>877</v>
      </c>
      <c r="P146" s="4" t="s">
        <v>878</v>
      </c>
      <c r="Q146" s="4" t="s">
        <v>4</v>
      </c>
      <c r="R146" s="4" t="s">
        <v>4</v>
      </c>
      <c r="S146" s="4" t="s">
        <v>10</v>
      </c>
      <c r="T146" s="4"/>
      <c r="U146" s="4"/>
      <c r="V146" s="4"/>
      <c r="W146" s="4" t="s">
        <v>11</v>
      </c>
      <c r="X146" s="17">
        <v>250000</v>
      </c>
      <c r="Y146" s="17">
        <v>250000</v>
      </c>
      <c r="Z146" s="4" t="s">
        <v>1060</v>
      </c>
      <c r="AA146" s="4" t="s">
        <v>1061</v>
      </c>
      <c r="AB146" s="4" t="s">
        <v>1062</v>
      </c>
      <c r="AC146" s="4" t="s">
        <v>1063</v>
      </c>
      <c r="AD146" s="4" t="s">
        <v>17</v>
      </c>
      <c r="AE146" s="4" t="s">
        <v>18</v>
      </c>
      <c r="AF146" s="4" t="s">
        <v>19</v>
      </c>
      <c r="AG146" s="4" t="s">
        <v>19</v>
      </c>
      <c r="AH146" s="17">
        <v>341814</v>
      </c>
    </row>
    <row r="147" spans="2:34" ht="15">
      <c r="B147" s="4" t="s">
        <v>20</v>
      </c>
      <c r="C147" s="5">
        <v>43580</v>
      </c>
      <c r="D147" s="4" t="s">
        <v>21</v>
      </c>
      <c r="E147" s="4" t="s">
        <v>1070</v>
      </c>
      <c r="F147" s="4" t="s">
        <v>3</v>
      </c>
      <c r="G147" s="4" t="s">
        <v>4</v>
      </c>
      <c r="H147" s="4" t="s">
        <v>183</v>
      </c>
      <c r="I147" s="5">
        <v>43579</v>
      </c>
      <c r="J147" s="6">
        <v>0.6916435185185185</v>
      </c>
      <c r="K147" s="5">
        <v>43581</v>
      </c>
      <c r="L147" s="4" t="s">
        <v>6</v>
      </c>
      <c r="M147" s="4"/>
      <c r="N147" s="4" t="s">
        <v>538</v>
      </c>
      <c r="O147" s="4" t="s">
        <v>539</v>
      </c>
      <c r="P147" s="4" t="s">
        <v>540</v>
      </c>
      <c r="Q147" s="4" t="s">
        <v>4</v>
      </c>
      <c r="R147" s="4" t="s">
        <v>4</v>
      </c>
      <c r="S147" s="4" t="s">
        <v>10</v>
      </c>
      <c r="T147" s="4"/>
      <c r="U147" s="4"/>
      <c r="V147" s="4"/>
      <c r="W147" s="4" t="s">
        <v>11</v>
      </c>
      <c r="X147" s="17">
        <v>818818</v>
      </c>
      <c r="Y147" s="17">
        <v>818818</v>
      </c>
      <c r="Z147" s="4" t="s">
        <v>1043</v>
      </c>
      <c r="AA147" s="4" t="s">
        <v>1072</v>
      </c>
      <c r="AB147" s="4" t="s">
        <v>1073</v>
      </c>
      <c r="AC147" s="4" t="s">
        <v>1074</v>
      </c>
      <c r="AD147" s="4" t="s">
        <v>17</v>
      </c>
      <c r="AE147" s="4" t="s">
        <v>18</v>
      </c>
      <c r="AF147" s="4" t="s">
        <v>19</v>
      </c>
      <c r="AG147" s="4" t="s">
        <v>19</v>
      </c>
      <c r="AH147" s="17">
        <v>98060.64368</v>
      </c>
    </row>
    <row r="148" spans="2:34" ht="15">
      <c r="B148" s="4" t="s">
        <v>20</v>
      </c>
      <c r="C148" s="5">
        <v>43581</v>
      </c>
      <c r="D148" s="4" t="s">
        <v>21</v>
      </c>
      <c r="E148" s="4" t="s">
        <v>1077</v>
      </c>
      <c r="F148" s="4" t="s">
        <v>3</v>
      </c>
      <c r="G148" s="4" t="s">
        <v>4</v>
      </c>
      <c r="H148" s="4" t="s">
        <v>632</v>
      </c>
      <c r="I148" s="5">
        <v>43580</v>
      </c>
      <c r="J148" s="6">
        <v>0.6443055555555556</v>
      </c>
      <c r="K148" s="5">
        <v>43584</v>
      </c>
      <c r="L148" s="4" t="s">
        <v>6</v>
      </c>
      <c r="M148" s="4"/>
      <c r="N148" s="4" t="s">
        <v>876</v>
      </c>
      <c r="O148" s="4" t="s">
        <v>877</v>
      </c>
      <c r="P148" s="4" t="s">
        <v>878</v>
      </c>
      <c r="Q148" s="4" t="s">
        <v>4</v>
      </c>
      <c r="R148" s="4" t="s">
        <v>4</v>
      </c>
      <c r="S148" s="4" t="s">
        <v>10</v>
      </c>
      <c r="T148" s="4"/>
      <c r="U148" s="4"/>
      <c r="V148" s="4"/>
      <c r="W148" s="4" t="s">
        <v>11</v>
      </c>
      <c r="X148" s="17">
        <v>100000</v>
      </c>
      <c r="Y148" s="17">
        <v>100000</v>
      </c>
      <c r="Z148" s="4" t="s">
        <v>1060</v>
      </c>
      <c r="AA148" s="4" t="s">
        <v>1078</v>
      </c>
      <c r="AB148" s="4" t="s">
        <v>1079</v>
      </c>
      <c r="AC148" s="4" t="s">
        <v>1080</v>
      </c>
      <c r="AD148" s="4" t="s">
        <v>17</v>
      </c>
      <c r="AE148" s="4" t="s">
        <v>18</v>
      </c>
      <c r="AF148" s="4" t="s">
        <v>19</v>
      </c>
      <c r="AG148" s="4" t="s">
        <v>19</v>
      </c>
      <c r="AH148" s="17">
        <v>136725</v>
      </c>
    </row>
    <row r="149" spans="2:34" ht="15">
      <c r="B149" s="4" t="s">
        <v>20</v>
      </c>
      <c r="C149" s="5">
        <v>43584</v>
      </c>
      <c r="D149" s="4" t="s">
        <v>21</v>
      </c>
      <c r="E149" s="4" t="s">
        <v>1081</v>
      </c>
      <c r="F149" s="4" t="s">
        <v>3</v>
      </c>
      <c r="G149" s="4" t="s">
        <v>4</v>
      </c>
      <c r="H149" s="4" t="s">
        <v>325</v>
      </c>
      <c r="I149" s="5">
        <v>43579</v>
      </c>
      <c r="J149" s="6">
        <v>0.3333333333333333</v>
      </c>
      <c r="K149" s="5">
        <v>43584</v>
      </c>
      <c r="L149" s="4" t="s">
        <v>6</v>
      </c>
      <c r="M149" s="4"/>
      <c r="N149" s="4" t="s">
        <v>1082</v>
      </c>
      <c r="O149" s="4" t="s">
        <v>1065</v>
      </c>
      <c r="P149" s="4" t="s">
        <v>1066</v>
      </c>
      <c r="Q149" s="4" t="s">
        <v>4</v>
      </c>
      <c r="R149" s="4" t="s">
        <v>85</v>
      </c>
      <c r="S149" s="4" t="s">
        <v>4</v>
      </c>
      <c r="T149" s="4"/>
      <c r="U149" s="4"/>
      <c r="V149" s="4"/>
      <c r="W149" s="4" t="s">
        <v>27</v>
      </c>
      <c r="X149" s="17">
        <v>2188000</v>
      </c>
      <c r="Y149" s="17">
        <v>2188000</v>
      </c>
      <c r="Z149" s="4" t="s">
        <v>1068</v>
      </c>
      <c r="AA149" s="4" t="s">
        <v>1069</v>
      </c>
      <c r="AB149" s="4" t="s">
        <v>1069</v>
      </c>
      <c r="AC149" s="4" t="s">
        <v>17</v>
      </c>
      <c r="AD149" s="4" t="s">
        <v>17</v>
      </c>
      <c r="AE149" s="4" t="s">
        <v>17</v>
      </c>
      <c r="AF149" s="4" t="s">
        <v>19</v>
      </c>
      <c r="AG149" s="4" t="s">
        <v>19</v>
      </c>
      <c r="AH149" s="17">
        <v>4376000</v>
      </c>
    </row>
    <row r="150" spans="2:34" ht="15">
      <c r="B150" s="1" t="s">
        <v>20</v>
      </c>
      <c r="C150" s="2">
        <v>43584</v>
      </c>
      <c r="D150" s="1" t="s">
        <v>21</v>
      </c>
      <c r="E150" s="1" t="s">
        <v>1083</v>
      </c>
      <c r="F150" s="1" t="s">
        <v>3</v>
      </c>
      <c r="G150" s="1" t="s">
        <v>4</v>
      </c>
      <c r="H150" s="1" t="s">
        <v>90</v>
      </c>
      <c r="I150" s="2">
        <v>43581</v>
      </c>
      <c r="J150" s="3">
        <v>0.5456134259259259</v>
      </c>
      <c r="K150" s="2">
        <v>43585</v>
      </c>
      <c r="L150" s="1" t="s">
        <v>6</v>
      </c>
      <c r="M150" s="1"/>
      <c r="N150" s="1" t="s">
        <v>307</v>
      </c>
      <c r="O150" s="1" t="s">
        <v>308</v>
      </c>
      <c r="P150" s="1" t="s">
        <v>309</v>
      </c>
      <c r="Q150" s="1" t="s">
        <v>4</v>
      </c>
      <c r="R150" s="1" t="s">
        <v>4</v>
      </c>
      <c r="S150" s="1" t="s">
        <v>10</v>
      </c>
      <c r="T150" s="1"/>
      <c r="U150" s="1"/>
      <c r="V150" s="1"/>
      <c r="W150" s="1" t="s">
        <v>11</v>
      </c>
      <c r="X150" s="16">
        <v>878146</v>
      </c>
      <c r="Y150" s="16">
        <v>878146</v>
      </c>
      <c r="Z150" s="1" t="s">
        <v>1085</v>
      </c>
      <c r="AA150" s="1" t="s">
        <v>1086</v>
      </c>
      <c r="AB150" s="1" t="s">
        <v>1087</v>
      </c>
      <c r="AC150" s="1" t="s">
        <v>1088</v>
      </c>
      <c r="AD150" s="1" t="s">
        <v>17</v>
      </c>
      <c r="AE150" s="1" t="s">
        <v>18</v>
      </c>
      <c r="AF150" s="1" t="s">
        <v>19</v>
      </c>
      <c r="AG150" s="1" t="s">
        <v>19</v>
      </c>
      <c r="AH150" s="16">
        <v>1963573.803</v>
      </c>
    </row>
    <row r="151" spans="2:34" ht="15">
      <c r="B151" s="4" t="s">
        <v>20</v>
      </c>
      <c r="C151" s="5">
        <v>43584</v>
      </c>
      <c r="D151" s="4" t="s">
        <v>21</v>
      </c>
      <c r="E151" s="4" t="s">
        <v>1089</v>
      </c>
      <c r="F151" s="4" t="s">
        <v>3</v>
      </c>
      <c r="G151" s="4" t="s">
        <v>4</v>
      </c>
      <c r="H151" s="4" t="s">
        <v>632</v>
      </c>
      <c r="I151" s="5">
        <v>43581</v>
      </c>
      <c r="J151" s="6">
        <v>0.5984143518518519</v>
      </c>
      <c r="K151" s="5">
        <v>43585</v>
      </c>
      <c r="L151" s="4" t="s">
        <v>6</v>
      </c>
      <c r="M151" s="4"/>
      <c r="N151" s="4" t="s">
        <v>876</v>
      </c>
      <c r="O151" s="4" t="s">
        <v>877</v>
      </c>
      <c r="P151" s="4" t="s">
        <v>878</v>
      </c>
      <c r="Q151" s="4" t="s">
        <v>4</v>
      </c>
      <c r="R151" s="4" t="s">
        <v>4</v>
      </c>
      <c r="S151" s="4" t="s">
        <v>10</v>
      </c>
      <c r="T151" s="4"/>
      <c r="U151" s="4"/>
      <c r="V151" s="4"/>
      <c r="W151" s="4" t="s">
        <v>11</v>
      </c>
      <c r="X151" s="17">
        <v>375000</v>
      </c>
      <c r="Y151" s="17">
        <v>375000</v>
      </c>
      <c r="Z151" s="4" t="s">
        <v>1091</v>
      </c>
      <c r="AA151" s="4" t="s">
        <v>1092</v>
      </c>
      <c r="AB151" s="4" t="s">
        <v>1093</v>
      </c>
      <c r="AC151" s="4" t="s">
        <v>1094</v>
      </c>
      <c r="AD151" s="4" t="s">
        <v>17</v>
      </c>
      <c r="AE151" s="4" t="s">
        <v>18</v>
      </c>
      <c r="AF151" s="4" t="s">
        <v>19</v>
      </c>
      <c r="AG151" s="4" t="s">
        <v>19</v>
      </c>
      <c r="AH151" s="17">
        <v>516464</v>
      </c>
    </row>
    <row r="152" spans="2:34" ht="15">
      <c r="B152" s="4" t="s">
        <v>153</v>
      </c>
      <c r="C152" s="5">
        <v>43584</v>
      </c>
      <c r="D152" s="4" t="s">
        <v>154</v>
      </c>
      <c r="E152" s="4" t="s">
        <v>1095</v>
      </c>
      <c r="F152" s="4" t="s">
        <v>3</v>
      </c>
      <c r="G152" s="4" t="s">
        <v>4</v>
      </c>
      <c r="H152" s="4" t="s">
        <v>325</v>
      </c>
      <c r="I152" s="5">
        <v>43579</v>
      </c>
      <c r="J152" s="6">
        <v>0.3333333333333333</v>
      </c>
      <c r="K152" s="5">
        <v>43584</v>
      </c>
      <c r="L152" s="4" t="s">
        <v>6</v>
      </c>
      <c r="M152" s="4"/>
      <c r="N152" s="4" t="s">
        <v>1082</v>
      </c>
      <c r="O152" s="4" t="s">
        <v>1065</v>
      </c>
      <c r="P152" s="4" t="s">
        <v>1066</v>
      </c>
      <c r="Q152" s="4" t="s">
        <v>4</v>
      </c>
      <c r="R152" s="4" t="s">
        <v>85</v>
      </c>
      <c r="S152" s="4" t="s">
        <v>4</v>
      </c>
      <c r="T152" s="4"/>
      <c r="U152" s="4"/>
      <c r="V152" s="4"/>
      <c r="W152" s="4" t="s">
        <v>27</v>
      </c>
      <c r="X152" s="17">
        <v>12000</v>
      </c>
      <c r="Y152" s="17">
        <v>12000</v>
      </c>
      <c r="Z152" s="4" t="s">
        <v>1068</v>
      </c>
      <c r="AA152" s="4" t="s">
        <v>1076</v>
      </c>
      <c r="AB152" s="4" t="s">
        <v>1076</v>
      </c>
      <c r="AC152" s="4" t="s">
        <v>17</v>
      </c>
      <c r="AD152" s="4" t="s">
        <v>17</v>
      </c>
      <c r="AE152" s="4" t="s">
        <v>17</v>
      </c>
      <c r="AF152" s="4" t="s">
        <v>19</v>
      </c>
      <c r="AG152" s="4" t="s">
        <v>19</v>
      </c>
      <c r="AH152" s="17">
        <v>24000</v>
      </c>
    </row>
    <row r="153" spans="2:34" ht="15">
      <c r="B153" s="1" t="s">
        <v>20</v>
      </c>
      <c r="C153" s="2">
        <v>43585</v>
      </c>
      <c r="D153" s="1" t="s">
        <v>21</v>
      </c>
      <c r="E153" s="1" t="s">
        <v>1096</v>
      </c>
      <c r="F153" s="1" t="s">
        <v>3</v>
      </c>
      <c r="G153" s="1" t="s">
        <v>4</v>
      </c>
      <c r="H153" s="1" t="s">
        <v>183</v>
      </c>
      <c r="I153" s="2">
        <v>43584</v>
      </c>
      <c r="J153" s="3">
        <v>0.4618055555555556</v>
      </c>
      <c r="K153" s="2">
        <v>43586</v>
      </c>
      <c r="L153" s="1" t="s">
        <v>6</v>
      </c>
      <c r="M153" s="1"/>
      <c r="N153" s="1" t="s">
        <v>538</v>
      </c>
      <c r="O153" s="1" t="s">
        <v>539</v>
      </c>
      <c r="P153" s="1" t="s">
        <v>540</v>
      </c>
      <c r="Q153" s="1" t="s">
        <v>4</v>
      </c>
      <c r="R153" s="1" t="s">
        <v>4</v>
      </c>
      <c r="S153" s="1" t="s">
        <v>10</v>
      </c>
      <c r="T153" s="1"/>
      <c r="U153" s="1"/>
      <c r="V153" s="1"/>
      <c r="W153" s="1" t="s">
        <v>11</v>
      </c>
      <c r="X153" s="16">
        <v>112500</v>
      </c>
      <c r="Y153" s="16">
        <v>112500</v>
      </c>
      <c r="Z153" s="1" t="s">
        <v>1098</v>
      </c>
      <c r="AA153" s="1" t="s">
        <v>1099</v>
      </c>
      <c r="AB153" s="1" t="s">
        <v>1100</v>
      </c>
      <c r="AC153" s="1" t="s">
        <v>1101</v>
      </c>
      <c r="AD153" s="1" t="s">
        <v>17</v>
      </c>
      <c r="AE153" s="1" t="s">
        <v>18</v>
      </c>
      <c r="AF153" s="1" t="s">
        <v>19</v>
      </c>
      <c r="AG153" s="1" t="s">
        <v>19</v>
      </c>
      <c r="AH153" s="16">
        <v>14033.375</v>
      </c>
    </row>
    <row r="154" spans="2:34" ht="15">
      <c r="B154" s="4" t="s">
        <v>20</v>
      </c>
      <c r="C154" s="5">
        <v>43585</v>
      </c>
      <c r="D154" s="4" t="s">
        <v>21</v>
      </c>
      <c r="E154" s="4" t="s">
        <v>1102</v>
      </c>
      <c r="F154" s="4" t="s">
        <v>3</v>
      </c>
      <c r="G154" s="4" t="s">
        <v>4</v>
      </c>
      <c r="H154" s="4" t="s">
        <v>119</v>
      </c>
      <c r="I154" s="5">
        <v>43584</v>
      </c>
      <c r="J154" s="6">
        <v>0.6673842592592593</v>
      </c>
      <c r="K154" s="5">
        <v>43586</v>
      </c>
      <c r="L154" s="4" t="s">
        <v>6</v>
      </c>
      <c r="M154" s="4"/>
      <c r="N154" s="4" t="s">
        <v>950</v>
      </c>
      <c r="O154" s="4" t="s">
        <v>951</v>
      </c>
      <c r="P154" s="4" t="s">
        <v>952</v>
      </c>
      <c r="Q154" s="4" t="s">
        <v>4</v>
      </c>
      <c r="R154" s="4" t="s">
        <v>4</v>
      </c>
      <c r="S154" s="4" t="s">
        <v>10</v>
      </c>
      <c r="T154" s="4"/>
      <c r="U154" s="4"/>
      <c r="V154" s="4"/>
      <c r="W154" s="4" t="s">
        <v>11</v>
      </c>
      <c r="X154" s="17">
        <v>4926</v>
      </c>
      <c r="Y154" s="17">
        <v>4926</v>
      </c>
      <c r="Z154" s="4" t="s">
        <v>1104</v>
      </c>
      <c r="AA154" s="4" t="s">
        <v>1105</v>
      </c>
      <c r="AB154" s="4" t="s">
        <v>1106</v>
      </c>
      <c r="AC154" s="4" t="s">
        <v>1107</v>
      </c>
      <c r="AD154" s="4" t="s">
        <v>17</v>
      </c>
      <c r="AE154" s="4" t="s">
        <v>17</v>
      </c>
      <c r="AF154" s="4" t="s">
        <v>19</v>
      </c>
      <c r="AG154" s="4" t="s">
        <v>19</v>
      </c>
      <c r="AH154" s="17">
        <v>7243.123081</v>
      </c>
    </row>
    <row r="155" spans="2:34" ht="15">
      <c r="B155" s="4" t="s">
        <v>0</v>
      </c>
      <c r="C155" s="5">
        <v>43585</v>
      </c>
      <c r="D155" s="4" t="s">
        <v>1</v>
      </c>
      <c r="E155" s="4" t="s">
        <v>1114</v>
      </c>
      <c r="F155" s="4" t="s">
        <v>3</v>
      </c>
      <c r="G155" s="4" t="s">
        <v>4</v>
      </c>
      <c r="H155" s="4" t="s">
        <v>119</v>
      </c>
      <c r="I155" s="5">
        <v>43584</v>
      </c>
      <c r="J155" s="6">
        <v>0.6673842592592593</v>
      </c>
      <c r="K155" s="5">
        <v>43586</v>
      </c>
      <c r="L155" s="4" t="s">
        <v>6</v>
      </c>
      <c r="M155" s="4"/>
      <c r="N155" s="4" t="s">
        <v>950</v>
      </c>
      <c r="O155" s="4" t="s">
        <v>951</v>
      </c>
      <c r="P155" s="4" t="s">
        <v>952</v>
      </c>
      <c r="Q155" s="4" t="s">
        <v>4</v>
      </c>
      <c r="R155" s="4" t="s">
        <v>4</v>
      </c>
      <c r="S155" s="4" t="s">
        <v>10</v>
      </c>
      <c r="T155" s="4"/>
      <c r="U155" s="4"/>
      <c r="V155" s="4"/>
      <c r="W155" s="4" t="s">
        <v>11</v>
      </c>
      <c r="X155" s="17">
        <v>1074</v>
      </c>
      <c r="Y155" s="17">
        <v>1074</v>
      </c>
      <c r="Z155" s="4" t="s">
        <v>1104</v>
      </c>
      <c r="AA155" s="4" t="s">
        <v>1116</v>
      </c>
      <c r="AB155" s="4" t="s">
        <v>1117</v>
      </c>
      <c r="AC155" s="4" t="s">
        <v>1118</v>
      </c>
      <c r="AD155" s="4" t="s">
        <v>17</v>
      </c>
      <c r="AE155" s="4" t="s">
        <v>17</v>
      </c>
      <c r="AF155" s="4" t="s">
        <v>19</v>
      </c>
      <c r="AG155" s="4" t="s">
        <v>19</v>
      </c>
      <c r="AH155" s="17">
        <v>1579.204923</v>
      </c>
    </row>
    <row r="156" spans="2:34" ht="15">
      <c r="B156" s="11" t="s">
        <v>0</v>
      </c>
      <c r="C156" s="12">
        <v>43585</v>
      </c>
      <c r="D156" s="11" t="s">
        <v>1</v>
      </c>
      <c r="E156" s="11" t="s">
        <v>1119</v>
      </c>
      <c r="F156" s="11" t="s">
        <v>3</v>
      </c>
      <c r="G156" s="11" t="s">
        <v>4</v>
      </c>
      <c r="H156" s="11" t="s">
        <v>119</v>
      </c>
      <c r="I156" s="12">
        <v>43585</v>
      </c>
      <c r="J156" s="13">
        <v>0.4008101851851852</v>
      </c>
      <c r="K156" s="12">
        <v>43587</v>
      </c>
      <c r="L156" s="11" t="s">
        <v>6</v>
      </c>
      <c r="M156" s="11"/>
      <c r="N156" s="11" t="s">
        <v>663</v>
      </c>
      <c r="O156" s="11" t="s">
        <v>664</v>
      </c>
      <c r="P156" s="11" t="s">
        <v>665</v>
      </c>
      <c r="Q156" s="11" t="s">
        <v>4</v>
      </c>
      <c r="R156" s="11" t="s">
        <v>4</v>
      </c>
      <c r="S156" s="11" t="s">
        <v>10</v>
      </c>
      <c r="T156" s="11"/>
      <c r="U156" s="11"/>
      <c r="V156" s="11"/>
      <c r="W156" s="11" t="s">
        <v>27</v>
      </c>
      <c r="X156" s="19">
        <v>80000</v>
      </c>
      <c r="Y156" s="19">
        <v>80000</v>
      </c>
      <c r="Z156" s="11" t="s">
        <v>1121</v>
      </c>
      <c r="AA156" s="11" t="s">
        <v>1122</v>
      </c>
      <c r="AB156" s="11" t="s">
        <v>1123</v>
      </c>
      <c r="AC156" s="11" t="s">
        <v>1124</v>
      </c>
      <c r="AD156" s="11" t="s">
        <v>17</v>
      </c>
      <c r="AE156" s="11" t="s">
        <v>1125</v>
      </c>
      <c r="AF156" s="11" t="s">
        <v>19</v>
      </c>
      <c r="AG156" s="11" t="s">
        <v>19</v>
      </c>
      <c r="AH156" s="19">
        <v>225007.31</v>
      </c>
    </row>
    <row r="157" spans="2:34" ht="15">
      <c r="B157" s="1" t="s">
        <v>20</v>
      </c>
      <c r="C157" s="2">
        <v>43586</v>
      </c>
      <c r="D157" s="1" t="s">
        <v>21</v>
      </c>
      <c r="E157" s="1" t="s">
        <v>1126</v>
      </c>
      <c r="F157" s="1" t="s">
        <v>3</v>
      </c>
      <c r="G157" s="1" t="s">
        <v>4</v>
      </c>
      <c r="H157" s="1" t="s">
        <v>119</v>
      </c>
      <c r="I157" s="2">
        <v>43585</v>
      </c>
      <c r="J157" s="3">
        <v>0.5621643518518519</v>
      </c>
      <c r="K157" s="2">
        <v>43587</v>
      </c>
      <c r="L157" s="1" t="s">
        <v>6</v>
      </c>
      <c r="M157" s="1"/>
      <c r="N157" s="1" t="s">
        <v>1127</v>
      </c>
      <c r="O157" s="1" t="s">
        <v>1128</v>
      </c>
      <c r="P157" s="1" t="s">
        <v>1129</v>
      </c>
      <c r="Q157" s="1" t="s">
        <v>4</v>
      </c>
      <c r="R157" s="1" t="s">
        <v>4</v>
      </c>
      <c r="S157" s="1" t="s">
        <v>10</v>
      </c>
      <c r="T157" s="1"/>
      <c r="U157" s="1"/>
      <c r="V157" s="1"/>
      <c r="W157" s="1" t="s">
        <v>11</v>
      </c>
      <c r="X157" s="16">
        <v>360000</v>
      </c>
      <c r="Y157" s="16">
        <v>360000</v>
      </c>
      <c r="Z157" s="1" t="s">
        <v>1131</v>
      </c>
      <c r="AA157" s="1" t="s">
        <v>1132</v>
      </c>
      <c r="AB157" s="1" t="s">
        <v>1133</v>
      </c>
      <c r="AC157" s="1" t="s">
        <v>1134</v>
      </c>
      <c r="AD157" s="1" t="s">
        <v>17</v>
      </c>
      <c r="AE157" s="1" t="s">
        <v>18</v>
      </c>
      <c r="AF157" s="1" t="s">
        <v>19</v>
      </c>
      <c r="AG157" s="1" t="s">
        <v>19</v>
      </c>
      <c r="AH157" s="16">
        <v>732930.2</v>
      </c>
    </row>
    <row r="158" spans="2:34" ht="15">
      <c r="B158" s="4" t="s">
        <v>0</v>
      </c>
      <c r="C158" s="5">
        <v>43586</v>
      </c>
      <c r="D158" s="4" t="s">
        <v>1</v>
      </c>
      <c r="E158" s="4" t="s">
        <v>1135</v>
      </c>
      <c r="F158" s="4" t="s">
        <v>3</v>
      </c>
      <c r="G158" s="4" t="s">
        <v>4</v>
      </c>
      <c r="H158" s="4" t="s">
        <v>119</v>
      </c>
      <c r="I158" s="5">
        <v>43585</v>
      </c>
      <c r="J158" s="6">
        <v>0.49774305555555554</v>
      </c>
      <c r="K158" s="5">
        <v>43587</v>
      </c>
      <c r="L158" s="4" t="s">
        <v>6</v>
      </c>
      <c r="M158" s="4"/>
      <c r="N158" s="4" t="s">
        <v>110</v>
      </c>
      <c r="O158" s="4" t="s">
        <v>111</v>
      </c>
      <c r="P158" s="4" t="s">
        <v>112</v>
      </c>
      <c r="Q158" s="4" t="s">
        <v>4</v>
      </c>
      <c r="R158" s="4" t="s">
        <v>4</v>
      </c>
      <c r="S158" s="4" t="s">
        <v>10</v>
      </c>
      <c r="T158" s="4"/>
      <c r="U158" s="4"/>
      <c r="V158" s="4"/>
      <c r="W158" s="4" t="s">
        <v>11</v>
      </c>
      <c r="X158" s="17">
        <v>11000</v>
      </c>
      <c r="Y158" s="17">
        <v>11000</v>
      </c>
      <c r="Z158" s="4" t="s">
        <v>1137</v>
      </c>
      <c r="AA158" s="4" t="s">
        <v>1138</v>
      </c>
      <c r="AB158" s="4" t="s">
        <v>1139</v>
      </c>
      <c r="AC158" s="4" t="s">
        <v>1140</v>
      </c>
      <c r="AD158" s="4" t="s">
        <v>17</v>
      </c>
      <c r="AE158" s="4" t="s">
        <v>18</v>
      </c>
      <c r="AF158" s="4" t="s">
        <v>19</v>
      </c>
      <c r="AG158" s="4" t="s">
        <v>19</v>
      </c>
      <c r="AH158" s="17">
        <v>31388.3954</v>
      </c>
    </row>
    <row r="159" spans="2:34" ht="15">
      <c r="B159" s="1" t="s">
        <v>153</v>
      </c>
      <c r="C159" s="2">
        <v>43586</v>
      </c>
      <c r="D159" s="1" t="s">
        <v>154</v>
      </c>
      <c r="E159" s="1" t="s">
        <v>1141</v>
      </c>
      <c r="F159" s="1" t="s">
        <v>3</v>
      </c>
      <c r="G159" s="1" t="s">
        <v>4</v>
      </c>
      <c r="H159" s="1" t="s">
        <v>23</v>
      </c>
      <c r="I159" s="2">
        <v>43585</v>
      </c>
      <c r="J159" s="3">
        <v>0.4784953703703704</v>
      </c>
      <c r="K159" s="2">
        <v>43587</v>
      </c>
      <c r="L159" s="1" t="s">
        <v>6</v>
      </c>
      <c r="M159" s="1"/>
      <c r="N159" s="1" t="s">
        <v>145</v>
      </c>
      <c r="O159" s="1" t="s">
        <v>146</v>
      </c>
      <c r="P159" s="1" t="s">
        <v>147</v>
      </c>
      <c r="Q159" s="1" t="s">
        <v>4</v>
      </c>
      <c r="R159" s="1" t="s">
        <v>4</v>
      </c>
      <c r="S159" s="1" t="s">
        <v>10</v>
      </c>
      <c r="T159" s="1"/>
      <c r="U159" s="1"/>
      <c r="V159" s="1"/>
      <c r="W159" s="1" t="s">
        <v>11</v>
      </c>
      <c r="X159" s="16">
        <v>2900</v>
      </c>
      <c r="Y159" s="16">
        <v>2900</v>
      </c>
      <c r="Z159" s="1" t="s">
        <v>1143</v>
      </c>
      <c r="AA159" s="1" t="s">
        <v>1144</v>
      </c>
      <c r="AB159" s="1" t="s">
        <v>1145</v>
      </c>
      <c r="AC159" s="1" t="s">
        <v>1146</v>
      </c>
      <c r="AD159" s="1" t="s">
        <v>17</v>
      </c>
      <c r="AE159" s="1" t="s">
        <v>18</v>
      </c>
      <c r="AF159" s="1" t="s">
        <v>19</v>
      </c>
      <c r="AG159" s="1" t="s">
        <v>19</v>
      </c>
      <c r="AH159" s="16">
        <v>10476.004</v>
      </c>
    </row>
    <row r="160" spans="2:34" ht="15">
      <c r="B160" s="4" t="s">
        <v>153</v>
      </c>
      <c r="C160" s="5">
        <v>43586</v>
      </c>
      <c r="D160" s="4" t="s">
        <v>154</v>
      </c>
      <c r="E160" s="4" t="s">
        <v>1147</v>
      </c>
      <c r="F160" s="4" t="s">
        <v>3</v>
      </c>
      <c r="G160" s="4" t="s">
        <v>4</v>
      </c>
      <c r="H160" s="4" t="s">
        <v>119</v>
      </c>
      <c r="I160" s="5">
        <v>43585</v>
      </c>
      <c r="J160" s="6">
        <v>0.47880787037037037</v>
      </c>
      <c r="K160" s="5">
        <v>43587</v>
      </c>
      <c r="L160" s="4" t="s">
        <v>6</v>
      </c>
      <c r="M160" s="4"/>
      <c r="N160" s="4" t="s">
        <v>977</v>
      </c>
      <c r="O160" s="4" t="s">
        <v>978</v>
      </c>
      <c r="P160" s="4" t="s">
        <v>979</v>
      </c>
      <c r="Q160" s="4" t="s">
        <v>4</v>
      </c>
      <c r="R160" s="4" t="s">
        <v>4</v>
      </c>
      <c r="S160" s="4" t="s">
        <v>10</v>
      </c>
      <c r="T160" s="4"/>
      <c r="U160" s="4"/>
      <c r="V160" s="4"/>
      <c r="W160" s="4" t="s">
        <v>27</v>
      </c>
      <c r="X160" s="17">
        <v>1700</v>
      </c>
      <c r="Y160" s="17">
        <v>1700</v>
      </c>
      <c r="Z160" s="4" t="s">
        <v>1148</v>
      </c>
      <c r="AA160" s="4" t="s">
        <v>1149</v>
      </c>
      <c r="AB160" s="4" t="s">
        <v>1150</v>
      </c>
      <c r="AC160" s="4" t="s">
        <v>1151</v>
      </c>
      <c r="AD160" s="4" t="s">
        <v>17</v>
      </c>
      <c r="AE160" s="4" t="s">
        <v>1152</v>
      </c>
      <c r="AF160" s="4" t="s">
        <v>19</v>
      </c>
      <c r="AG160" s="4" t="s">
        <v>19</v>
      </c>
      <c r="AH160" s="17">
        <v>4014.443</v>
      </c>
    </row>
    <row r="161" spans="2:34" ht="15">
      <c r="B161" s="4" t="s">
        <v>20</v>
      </c>
      <c r="C161" s="5">
        <v>43587</v>
      </c>
      <c r="D161" s="4" t="s">
        <v>21</v>
      </c>
      <c r="E161" s="4" t="s">
        <v>1153</v>
      </c>
      <c r="F161" s="4" t="s">
        <v>3</v>
      </c>
      <c r="G161" s="4" t="s">
        <v>4</v>
      </c>
      <c r="H161" s="4" t="s">
        <v>23</v>
      </c>
      <c r="I161" s="5">
        <v>43585</v>
      </c>
      <c r="J161" s="6">
        <v>0.3333333333333333</v>
      </c>
      <c r="K161" s="5">
        <v>43587</v>
      </c>
      <c r="L161" s="4" t="s">
        <v>6</v>
      </c>
      <c r="M161" s="4"/>
      <c r="N161" s="4" t="s">
        <v>1154</v>
      </c>
      <c r="O161" s="4" t="s">
        <v>1109</v>
      </c>
      <c r="P161" s="4" t="s">
        <v>1110</v>
      </c>
      <c r="Q161" s="4" t="s">
        <v>4</v>
      </c>
      <c r="R161" s="4" t="s">
        <v>85</v>
      </c>
      <c r="S161" s="4" t="s">
        <v>4</v>
      </c>
      <c r="T161" s="4"/>
      <c r="U161" s="4"/>
      <c r="V161" s="4"/>
      <c r="W161" s="4" t="s">
        <v>27</v>
      </c>
      <c r="X161" s="17">
        <v>10000000</v>
      </c>
      <c r="Y161" s="17">
        <v>10000000</v>
      </c>
      <c r="Z161" s="4" t="s">
        <v>1112</v>
      </c>
      <c r="AA161" s="4" t="s">
        <v>1113</v>
      </c>
      <c r="AB161" s="4" t="s">
        <v>1113</v>
      </c>
      <c r="AC161" s="4" t="s">
        <v>17</v>
      </c>
      <c r="AD161" s="4" t="s">
        <v>17</v>
      </c>
      <c r="AE161" s="4" t="s">
        <v>17</v>
      </c>
      <c r="AF161" s="4" t="s">
        <v>19</v>
      </c>
      <c r="AG161" s="4" t="s">
        <v>19</v>
      </c>
      <c r="AH161" s="17">
        <v>400000</v>
      </c>
    </row>
    <row r="162" spans="2:34" ht="15">
      <c r="B162" s="1" t="s">
        <v>20</v>
      </c>
      <c r="C162" s="2">
        <v>43587</v>
      </c>
      <c r="D162" s="1" t="s">
        <v>21</v>
      </c>
      <c r="E162" s="1" t="s">
        <v>1155</v>
      </c>
      <c r="F162" s="1" t="s">
        <v>3</v>
      </c>
      <c r="G162" s="1" t="s">
        <v>4</v>
      </c>
      <c r="H162" s="1" t="s">
        <v>632</v>
      </c>
      <c r="I162" s="2">
        <v>43586</v>
      </c>
      <c r="J162" s="3">
        <v>0.36994212962962963</v>
      </c>
      <c r="K162" s="2">
        <v>43588</v>
      </c>
      <c r="L162" s="1" t="s">
        <v>6</v>
      </c>
      <c r="M162" s="1"/>
      <c r="N162" s="1" t="s">
        <v>1127</v>
      </c>
      <c r="O162" s="1" t="s">
        <v>1128</v>
      </c>
      <c r="P162" s="1" t="s">
        <v>1129</v>
      </c>
      <c r="Q162" s="1" t="s">
        <v>4</v>
      </c>
      <c r="R162" s="1" t="s">
        <v>4</v>
      </c>
      <c r="S162" s="1" t="s">
        <v>10</v>
      </c>
      <c r="T162" s="1"/>
      <c r="U162" s="1"/>
      <c r="V162" s="1"/>
      <c r="W162" s="1" t="s">
        <v>11</v>
      </c>
      <c r="X162" s="16">
        <v>15000</v>
      </c>
      <c r="Y162" s="16">
        <v>15000</v>
      </c>
      <c r="Z162" s="1" t="s">
        <v>1156</v>
      </c>
      <c r="AA162" s="1" t="s">
        <v>1157</v>
      </c>
      <c r="AB162" s="1" t="s">
        <v>1158</v>
      </c>
      <c r="AC162" s="1" t="s">
        <v>1159</v>
      </c>
      <c r="AD162" s="1" t="s">
        <v>17</v>
      </c>
      <c r="AE162" s="1" t="s">
        <v>18</v>
      </c>
      <c r="AF162" s="1" t="s">
        <v>19</v>
      </c>
      <c r="AG162" s="1" t="s">
        <v>19</v>
      </c>
      <c r="AH162" s="16">
        <v>30837.2</v>
      </c>
    </row>
    <row r="163" spans="2:34" ht="15">
      <c r="B163" s="4" t="s">
        <v>20</v>
      </c>
      <c r="C163" s="5">
        <v>43587</v>
      </c>
      <c r="D163" s="4" t="s">
        <v>21</v>
      </c>
      <c r="E163" s="4" t="s">
        <v>1160</v>
      </c>
      <c r="F163" s="4" t="s">
        <v>3</v>
      </c>
      <c r="G163" s="4" t="s">
        <v>4</v>
      </c>
      <c r="H163" s="4" t="s">
        <v>119</v>
      </c>
      <c r="I163" s="5">
        <v>43586</v>
      </c>
      <c r="J163" s="6">
        <v>0.6665162037037037</v>
      </c>
      <c r="K163" s="5">
        <v>43588</v>
      </c>
      <c r="L163" s="4" t="s">
        <v>6</v>
      </c>
      <c r="M163" s="4"/>
      <c r="N163" s="4" t="s">
        <v>1127</v>
      </c>
      <c r="O163" s="4" t="s">
        <v>1128</v>
      </c>
      <c r="P163" s="4" t="s">
        <v>1129</v>
      </c>
      <c r="Q163" s="4" t="s">
        <v>4</v>
      </c>
      <c r="R163" s="4" t="s">
        <v>4</v>
      </c>
      <c r="S163" s="4" t="s">
        <v>10</v>
      </c>
      <c r="T163" s="4"/>
      <c r="U163" s="4"/>
      <c r="V163" s="4"/>
      <c r="W163" s="4" t="s">
        <v>11</v>
      </c>
      <c r="X163" s="17">
        <v>5000</v>
      </c>
      <c r="Y163" s="17">
        <v>5000</v>
      </c>
      <c r="Z163" s="4" t="s">
        <v>1131</v>
      </c>
      <c r="AA163" s="4" t="s">
        <v>1161</v>
      </c>
      <c r="AB163" s="4" t="s">
        <v>1162</v>
      </c>
      <c r="AC163" s="4" t="s">
        <v>1163</v>
      </c>
      <c r="AD163" s="4" t="s">
        <v>17</v>
      </c>
      <c r="AE163" s="4" t="s">
        <v>18</v>
      </c>
      <c r="AF163" s="4" t="s">
        <v>19</v>
      </c>
      <c r="AG163" s="4" t="s">
        <v>19</v>
      </c>
      <c r="AH163" s="17">
        <v>10178.6</v>
      </c>
    </row>
    <row r="164" spans="2:34" ht="15">
      <c r="B164" s="1" t="s">
        <v>0</v>
      </c>
      <c r="C164" s="2">
        <v>43587</v>
      </c>
      <c r="D164" s="1" t="s">
        <v>1</v>
      </c>
      <c r="E164" s="1" t="s">
        <v>1164</v>
      </c>
      <c r="F164" s="1" t="s">
        <v>3</v>
      </c>
      <c r="G164" s="1" t="s">
        <v>4</v>
      </c>
      <c r="H164" s="1" t="s">
        <v>119</v>
      </c>
      <c r="I164" s="2">
        <v>43586</v>
      </c>
      <c r="J164" s="3">
        <v>0.6445601851851852</v>
      </c>
      <c r="K164" s="2">
        <v>43588</v>
      </c>
      <c r="L164" s="1" t="s">
        <v>6</v>
      </c>
      <c r="M164" s="1"/>
      <c r="N164" s="1" t="s">
        <v>110</v>
      </c>
      <c r="O164" s="1" t="s">
        <v>111</v>
      </c>
      <c r="P164" s="1" t="s">
        <v>112</v>
      </c>
      <c r="Q164" s="1" t="s">
        <v>4</v>
      </c>
      <c r="R164" s="1" t="s">
        <v>4</v>
      </c>
      <c r="S164" s="1" t="s">
        <v>10</v>
      </c>
      <c r="T164" s="1"/>
      <c r="U164" s="1"/>
      <c r="V164" s="1"/>
      <c r="W164" s="1" t="s">
        <v>11</v>
      </c>
      <c r="X164" s="16">
        <v>5000</v>
      </c>
      <c r="Y164" s="16">
        <v>5000</v>
      </c>
      <c r="Z164" s="1" t="s">
        <v>114</v>
      </c>
      <c r="AA164" s="1" t="s">
        <v>1165</v>
      </c>
      <c r="AB164" s="1" t="s">
        <v>1166</v>
      </c>
      <c r="AC164" s="1" t="s">
        <v>1167</v>
      </c>
      <c r="AD164" s="1" t="s">
        <v>17</v>
      </c>
      <c r="AE164" s="1" t="s">
        <v>18</v>
      </c>
      <c r="AF164" s="1" t="s">
        <v>19</v>
      </c>
      <c r="AG164" s="1" t="s">
        <v>19</v>
      </c>
      <c r="AH164" s="16">
        <v>14220.5</v>
      </c>
    </row>
    <row r="165" spans="2:34" ht="15">
      <c r="B165" s="4" t="s">
        <v>153</v>
      </c>
      <c r="C165" s="5">
        <v>43587</v>
      </c>
      <c r="D165" s="4" t="s">
        <v>154</v>
      </c>
      <c r="E165" s="4" t="s">
        <v>1168</v>
      </c>
      <c r="F165" s="4" t="s">
        <v>3</v>
      </c>
      <c r="G165" s="4" t="s">
        <v>4</v>
      </c>
      <c r="H165" s="4" t="s">
        <v>1277</v>
      </c>
      <c r="I165" s="5">
        <v>43586</v>
      </c>
      <c r="J165" s="6">
        <v>0.6263888888888889</v>
      </c>
      <c r="K165" s="5">
        <v>43588</v>
      </c>
      <c r="L165" s="4" t="s">
        <v>6</v>
      </c>
      <c r="M165" s="4"/>
      <c r="N165" s="4" t="s">
        <v>127</v>
      </c>
      <c r="O165" s="4" t="s">
        <v>128</v>
      </c>
      <c r="P165" s="4" t="s">
        <v>129</v>
      </c>
      <c r="Q165" s="4" t="s">
        <v>4</v>
      </c>
      <c r="R165" s="4" t="s">
        <v>4</v>
      </c>
      <c r="S165" s="4" t="s">
        <v>10</v>
      </c>
      <c r="T165" s="4"/>
      <c r="U165" s="4"/>
      <c r="V165" s="4"/>
      <c r="W165" s="4" t="s">
        <v>27</v>
      </c>
      <c r="X165" s="17">
        <v>1000</v>
      </c>
      <c r="Y165" s="17">
        <v>1000</v>
      </c>
      <c r="Z165" s="4" t="s">
        <v>1169</v>
      </c>
      <c r="AA165" s="4" t="s">
        <v>1170</v>
      </c>
      <c r="AB165" s="4" t="s">
        <v>1171</v>
      </c>
      <c r="AC165" s="4" t="s">
        <v>1172</v>
      </c>
      <c r="AD165" s="4" t="s">
        <v>17</v>
      </c>
      <c r="AE165" s="4" t="s">
        <v>17</v>
      </c>
      <c r="AF165" s="4" t="s">
        <v>19</v>
      </c>
      <c r="AG165" s="4" t="s">
        <v>19</v>
      </c>
      <c r="AH165" s="17">
        <v>7715.4</v>
      </c>
    </row>
    <row r="166" spans="2:34" ht="15">
      <c r="B166" s="1" t="s">
        <v>20</v>
      </c>
      <c r="C166" s="2">
        <v>43592</v>
      </c>
      <c r="D166" s="1" t="s">
        <v>21</v>
      </c>
      <c r="E166" s="1" t="s">
        <v>1173</v>
      </c>
      <c r="F166" s="1" t="s">
        <v>3</v>
      </c>
      <c r="G166" s="1" t="s">
        <v>4</v>
      </c>
      <c r="H166" s="1" t="s">
        <v>1174</v>
      </c>
      <c r="I166" s="2">
        <v>43588</v>
      </c>
      <c r="J166" s="3">
        <v>0.6584027777777778</v>
      </c>
      <c r="K166" s="2">
        <v>43593</v>
      </c>
      <c r="L166" s="1" t="s">
        <v>6</v>
      </c>
      <c r="M166" s="1"/>
      <c r="N166" s="1" t="s">
        <v>1175</v>
      </c>
      <c r="O166" s="1" t="s">
        <v>1176</v>
      </c>
      <c r="P166" s="1" t="s">
        <v>1177</v>
      </c>
      <c r="Q166" s="1" t="s">
        <v>4</v>
      </c>
      <c r="R166" s="1" t="s">
        <v>4</v>
      </c>
      <c r="S166" s="1" t="s">
        <v>10</v>
      </c>
      <c r="T166" s="1"/>
      <c r="U166" s="1"/>
      <c r="V166" s="1"/>
      <c r="W166" s="1" t="s">
        <v>11</v>
      </c>
      <c r="X166" s="16">
        <v>200000</v>
      </c>
      <c r="Y166" s="16">
        <v>200000</v>
      </c>
      <c r="Z166" s="1" t="s">
        <v>1179</v>
      </c>
      <c r="AA166" s="1" t="s">
        <v>1180</v>
      </c>
      <c r="AB166" s="1" t="s">
        <v>1181</v>
      </c>
      <c r="AC166" s="1" t="s">
        <v>1182</v>
      </c>
      <c r="AD166" s="1" t="s">
        <v>17</v>
      </c>
      <c r="AE166" s="1" t="s">
        <v>18</v>
      </c>
      <c r="AF166" s="1" t="s">
        <v>19</v>
      </c>
      <c r="AG166" s="1" t="s">
        <v>19</v>
      </c>
      <c r="AH166" s="16">
        <v>582831</v>
      </c>
    </row>
    <row r="167" spans="2:34" ht="15">
      <c r="B167" s="4" t="s">
        <v>0</v>
      </c>
      <c r="C167" s="5">
        <v>43593</v>
      </c>
      <c r="D167" s="4" t="s">
        <v>1</v>
      </c>
      <c r="E167" s="4" t="s">
        <v>1183</v>
      </c>
      <c r="F167" s="4" t="s">
        <v>3</v>
      </c>
      <c r="G167" s="4" t="s">
        <v>4</v>
      </c>
      <c r="H167" s="4" t="s">
        <v>119</v>
      </c>
      <c r="I167" s="5">
        <v>43592</v>
      </c>
      <c r="J167" s="6">
        <v>0.663599537037037</v>
      </c>
      <c r="K167" s="5">
        <v>43594</v>
      </c>
      <c r="L167" s="4" t="s">
        <v>6</v>
      </c>
      <c r="M167" s="4"/>
      <c r="N167" s="4" t="s">
        <v>1184</v>
      </c>
      <c r="O167" s="4" t="s">
        <v>419</v>
      </c>
      <c r="P167" s="4" t="s">
        <v>420</v>
      </c>
      <c r="Q167" s="4" t="s">
        <v>4</v>
      </c>
      <c r="R167" s="4" t="s">
        <v>4</v>
      </c>
      <c r="S167" s="4" t="s">
        <v>10</v>
      </c>
      <c r="T167" s="4"/>
      <c r="U167" s="4"/>
      <c r="V167" s="4"/>
      <c r="W167" s="4" t="s">
        <v>27</v>
      </c>
      <c r="X167" s="17">
        <v>72000</v>
      </c>
      <c r="Y167" s="17">
        <v>72000</v>
      </c>
      <c r="Z167" s="4" t="s">
        <v>1185</v>
      </c>
      <c r="AA167" s="4" t="s">
        <v>1186</v>
      </c>
      <c r="AB167" s="4" t="s">
        <v>1187</v>
      </c>
      <c r="AC167" s="4" t="s">
        <v>1188</v>
      </c>
      <c r="AD167" s="4" t="s">
        <v>17</v>
      </c>
      <c r="AE167" s="4" t="s">
        <v>18</v>
      </c>
      <c r="AF167" s="4" t="s">
        <v>19</v>
      </c>
      <c r="AG167" s="4" t="s">
        <v>19</v>
      </c>
      <c r="AH167" s="17">
        <v>117307.144</v>
      </c>
    </row>
    <row r="168" spans="2:34" ht="15">
      <c r="B168" s="1" t="s">
        <v>0</v>
      </c>
      <c r="C168" s="2">
        <v>43594</v>
      </c>
      <c r="D168" s="1" t="s">
        <v>1</v>
      </c>
      <c r="E168" s="1" t="s">
        <v>1189</v>
      </c>
      <c r="F168" s="1" t="s">
        <v>3</v>
      </c>
      <c r="G168" s="1" t="s">
        <v>4</v>
      </c>
      <c r="H168" s="1" t="s">
        <v>119</v>
      </c>
      <c r="I168" s="2">
        <v>43593</v>
      </c>
      <c r="J168" s="3">
        <v>0.6926157407407407</v>
      </c>
      <c r="K168" s="2">
        <v>43595</v>
      </c>
      <c r="L168" s="1" t="s">
        <v>6</v>
      </c>
      <c r="M168" s="1"/>
      <c r="N168" s="1" t="s">
        <v>110</v>
      </c>
      <c r="O168" s="1" t="s">
        <v>111</v>
      </c>
      <c r="P168" s="1" t="s">
        <v>112</v>
      </c>
      <c r="Q168" s="1" t="s">
        <v>4</v>
      </c>
      <c r="R168" s="1" t="s">
        <v>4</v>
      </c>
      <c r="S168" s="1" t="s">
        <v>10</v>
      </c>
      <c r="T168" s="1"/>
      <c r="U168" s="1"/>
      <c r="V168" s="1"/>
      <c r="W168" s="1" t="s">
        <v>11</v>
      </c>
      <c r="X168" s="16">
        <v>2282</v>
      </c>
      <c r="Y168" s="16">
        <v>2282</v>
      </c>
      <c r="Z168" s="1" t="s">
        <v>114</v>
      </c>
      <c r="AA168" s="1" t="s">
        <v>1191</v>
      </c>
      <c r="AB168" s="1" t="s">
        <v>1192</v>
      </c>
      <c r="AC168" s="1" t="s">
        <v>1193</v>
      </c>
      <c r="AD168" s="1" t="s">
        <v>17</v>
      </c>
      <c r="AE168" s="1" t="s">
        <v>17</v>
      </c>
      <c r="AF168" s="1" t="s">
        <v>19</v>
      </c>
      <c r="AG168" s="1" t="s">
        <v>19</v>
      </c>
      <c r="AH168" s="16">
        <v>6490.6926</v>
      </c>
    </row>
    <row r="169" spans="2:34" ht="15">
      <c r="B169" s="4" t="s">
        <v>0</v>
      </c>
      <c r="C169" s="5">
        <v>43595</v>
      </c>
      <c r="D169" s="4" t="s">
        <v>1</v>
      </c>
      <c r="E169" s="4" t="s">
        <v>1194</v>
      </c>
      <c r="F169" s="4" t="s">
        <v>3</v>
      </c>
      <c r="G169" s="4" t="s">
        <v>4</v>
      </c>
      <c r="H169" s="4" t="s">
        <v>119</v>
      </c>
      <c r="I169" s="5">
        <v>43594</v>
      </c>
      <c r="J169" s="6">
        <v>0.6006828703703704</v>
      </c>
      <c r="K169" s="5">
        <v>43598</v>
      </c>
      <c r="L169" s="4" t="s">
        <v>6</v>
      </c>
      <c r="M169" s="4"/>
      <c r="N169" s="4" t="s">
        <v>110</v>
      </c>
      <c r="O169" s="4" t="s">
        <v>111</v>
      </c>
      <c r="P169" s="4" t="s">
        <v>112</v>
      </c>
      <c r="Q169" s="4" t="s">
        <v>4</v>
      </c>
      <c r="R169" s="4" t="s">
        <v>4</v>
      </c>
      <c r="S169" s="4" t="s">
        <v>10</v>
      </c>
      <c r="T169" s="4"/>
      <c r="U169" s="4"/>
      <c r="V169" s="4"/>
      <c r="W169" s="4" t="s">
        <v>11</v>
      </c>
      <c r="X169" s="17">
        <v>5282</v>
      </c>
      <c r="Y169" s="17">
        <v>5282</v>
      </c>
      <c r="Z169" s="4" t="s">
        <v>114</v>
      </c>
      <c r="AA169" s="4" t="s">
        <v>1196</v>
      </c>
      <c r="AB169" s="4" t="s">
        <v>1197</v>
      </c>
      <c r="AC169" s="4" t="s">
        <v>1198</v>
      </c>
      <c r="AD169" s="4" t="s">
        <v>17</v>
      </c>
      <c r="AE169" s="4" t="s">
        <v>18</v>
      </c>
      <c r="AF169" s="4" t="s">
        <v>19</v>
      </c>
      <c r="AG169" s="4" t="s">
        <v>19</v>
      </c>
      <c r="AH169" s="17">
        <v>15022.5926</v>
      </c>
    </row>
    <row r="170" spans="2:34" ht="15">
      <c r="B170" s="1" t="s">
        <v>20</v>
      </c>
      <c r="C170" s="2">
        <v>43599</v>
      </c>
      <c r="D170" s="1" t="s">
        <v>21</v>
      </c>
      <c r="E170" s="1" t="s">
        <v>1199</v>
      </c>
      <c r="F170" s="1" t="s">
        <v>3</v>
      </c>
      <c r="G170" s="1" t="s">
        <v>4</v>
      </c>
      <c r="H170" s="1" t="s">
        <v>119</v>
      </c>
      <c r="I170" s="2">
        <v>43598</v>
      </c>
      <c r="J170" s="3">
        <v>0.5801273148148148</v>
      </c>
      <c r="K170" s="2">
        <v>43600</v>
      </c>
      <c r="L170" s="1" t="s">
        <v>6</v>
      </c>
      <c r="M170" s="1"/>
      <c r="N170" s="1" t="s">
        <v>950</v>
      </c>
      <c r="O170" s="1" t="s">
        <v>951</v>
      </c>
      <c r="P170" s="1" t="s">
        <v>952</v>
      </c>
      <c r="Q170" s="1" t="s">
        <v>4</v>
      </c>
      <c r="R170" s="1" t="s">
        <v>4</v>
      </c>
      <c r="S170" s="1" t="s">
        <v>10</v>
      </c>
      <c r="T170" s="1"/>
      <c r="U170" s="1"/>
      <c r="V170" s="1"/>
      <c r="W170" s="1" t="s">
        <v>11</v>
      </c>
      <c r="X170" s="16">
        <v>98520</v>
      </c>
      <c r="Y170" s="16">
        <v>98520</v>
      </c>
      <c r="Z170" s="1" t="s">
        <v>1201</v>
      </c>
      <c r="AA170" s="1" t="s">
        <v>1202</v>
      </c>
      <c r="AB170" s="1" t="s">
        <v>1203</v>
      </c>
      <c r="AC170" s="1" t="s">
        <v>1204</v>
      </c>
      <c r="AD170" s="1" t="s">
        <v>17</v>
      </c>
      <c r="AE170" s="1" t="s">
        <v>18</v>
      </c>
      <c r="AF170" s="1" t="s">
        <v>19</v>
      </c>
      <c r="AG170" s="1" t="s">
        <v>19</v>
      </c>
      <c r="AH170" s="16">
        <v>124869.1592</v>
      </c>
    </row>
    <row r="171" spans="2:34" ht="15">
      <c r="B171" s="4" t="s">
        <v>0</v>
      </c>
      <c r="C171" s="5">
        <v>43599</v>
      </c>
      <c r="D171" s="4" t="s">
        <v>1</v>
      </c>
      <c r="E171" s="4" t="s">
        <v>1205</v>
      </c>
      <c r="F171" s="4" t="s">
        <v>3</v>
      </c>
      <c r="G171" s="4" t="s">
        <v>4</v>
      </c>
      <c r="H171" s="4" t="s">
        <v>119</v>
      </c>
      <c r="I171" s="5">
        <v>43598</v>
      </c>
      <c r="J171" s="6">
        <v>0.5801273148148148</v>
      </c>
      <c r="K171" s="5">
        <v>43600</v>
      </c>
      <c r="L171" s="4" t="s">
        <v>6</v>
      </c>
      <c r="M171" s="4"/>
      <c r="N171" s="4" t="s">
        <v>950</v>
      </c>
      <c r="O171" s="4" t="s">
        <v>951</v>
      </c>
      <c r="P171" s="4" t="s">
        <v>952</v>
      </c>
      <c r="Q171" s="4" t="s">
        <v>4</v>
      </c>
      <c r="R171" s="4" t="s">
        <v>4</v>
      </c>
      <c r="S171" s="4" t="s">
        <v>10</v>
      </c>
      <c r="T171" s="4"/>
      <c r="U171" s="4"/>
      <c r="V171" s="4"/>
      <c r="W171" s="4" t="s">
        <v>11</v>
      </c>
      <c r="X171" s="17">
        <v>21480</v>
      </c>
      <c r="Y171" s="17">
        <v>21480</v>
      </c>
      <c r="Z171" s="4" t="s">
        <v>1201</v>
      </c>
      <c r="AA171" s="4" t="s">
        <v>1207</v>
      </c>
      <c r="AB171" s="4" t="s">
        <v>1208</v>
      </c>
      <c r="AC171" s="4" t="s">
        <v>1209</v>
      </c>
      <c r="AD171" s="4" t="s">
        <v>17</v>
      </c>
      <c r="AE171" s="4" t="s">
        <v>18</v>
      </c>
      <c r="AF171" s="4" t="s">
        <v>19</v>
      </c>
      <c r="AG171" s="4" t="s">
        <v>19</v>
      </c>
      <c r="AH171" s="17">
        <v>27224.0408</v>
      </c>
    </row>
    <row r="172" spans="2:34" ht="15">
      <c r="B172" s="1" t="s">
        <v>0</v>
      </c>
      <c r="C172" s="2">
        <v>43599</v>
      </c>
      <c r="D172" s="1" t="s">
        <v>1</v>
      </c>
      <c r="E172" s="1" t="s">
        <v>1210</v>
      </c>
      <c r="F172" s="1" t="s">
        <v>3</v>
      </c>
      <c r="G172" s="1" t="s">
        <v>4</v>
      </c>
      <c r="H172" s="1" t="s">
        <v>119</v>
      </c>
      <c r="I172" s="2">
        <v>43599</v>
      </c>
      <c r="J172" s="3">
        <v>0.34913194444444445</v>
      </c>
      <c r="K172" s="2">
        <v>43601</v>
      </c>
      <c r="L172" s="1" t="s">
        <v>6</v>
      </c>
      <c r="M172" s="1"/>
      <c r="N172" s="1" t="s">
        <v>1211</v>
      </c>
      <c r="O172" s="1" t="s">
        <v>1212</v>
      </c>
      <c r="P172" s="1" t="s">
        <v>1213</v>
      </c>
      <c r="Q172" s="1" t="s">
        <v>4</v>
      </c>
      <c r="R172" s="1" t="s">
        <v>4</v>
      </c>
      <c r="S172" s="1" t="s">
        <v>10</v>
      </c>
      <c r="T172" s="1"/>
      <c r="U172" s="1"/>
      <c r="V172" s="1"/>
      <c r="W172" s="1" t="s">
        <v>11</v>
      </c>
      <c r="X172" s="16">
        <v>691000</v>
      </c>
      <c r="Y172" s="16">
        <v>691000</v>
      </c>
      <c r="Z172" s="1" t="s">
        <v>1215</v>
      </c>
      <c r="AA172" s="1" t="s">
        <v>1216</v>
      </c>
      <c r="AB172" s="1" t="s">
        <v>1217</v>
      </c>
      <c r="AC172" s="1" t="s">
        <v>1218</v>
      </c>
      <c r="AD172" s="1" t="s">
        <v>17</v>
      </c>
      <c r="AE172" s="1" t="s">
        <v>18</v>
      </c>
      <c r="AF172" s="1" t="s">
        <v>19</v>
      </c>
      <c r="AG172" s="1" t="s">
        <v>19</v>
      </c>
      <c r="AH172" s="16">
        <v>913500.7668</v>
      </c>
    </row>
    <row r="173" spans="2:34" ht="15">
      <c r="B173" s="4" t="s">
        <v>0</v>
      </c>
      <c r="C173" s="5">
        <v>43600</v>
      </c>
      <c r="D173" s="4" t="s">
        <v>1</v>
      </c>
      <c r="E173" s="4" t="s">
        <v>1219</v>
      </c>
      <c r="F173" s="4" t="s">
        <v>3</v>
      </c>
      <c r="G173" s="4" t="s">
        <v>4</v>
      </c>
      <c r="H173" s="4" t="s">
        <v>119</v>
      </c>
      <c r="I173" s="5">
        <v>43599</v>
      </c>
      <c r="J173" s="6">
        <v>0.6489930555555555</v>
      </c>
      <c r="K173" s="5">
        <v>43601</v>
      </c>
      <c r="L173" s="4" t="s">
        <v>6</v>
      </c>
      <c r="M173" s="4"/>
      <c r="N173" s="4" t="s">
        <v>223</v>
      </c>
      <c r="O173" s="4" t="s">
        <v>224</v>
      </c>
      <c r="P173" s="4" t="s">
        <v>225</v>
      </c>
      <c r="Q173" s="4" t="s">
        <v>4</v>
      </c>
      <c r="R173" s="4" t="s">
        <v>4</v>
      </c>
      <c r="S173" s="4" t="s">
        <v>10</v>
      </c>
      <c r="T173" s="4"/>
      <c r="U173" s="4"/>
      <c r="V173" s="4"/>
      <c r="W173" s="4" t="s">
        <v>27</v>
      </c>
      <c r="X173" s="17">
        <v>110000</v>
      </c>
      <c r="Y173" s="17">
        <v>110000</v>
      </c>
      <c r="Z173" s="4" t="s">
        <v>1221</v>
      </c>
      <c r="AA173" s="4" t="s">
        <v>1222</v>
      </c>
      <c r="AB173" s="4" t="s">
        <v>1223</v>
      </c>
      <c r="AC173" s="4" t="s">
        <v>1224</v>
      </c>
      <c r="AD173" s="4" t="s">
        <v>17</v>
      </c>
      <c r="AE173" s="4" t="s">
        <v>1225</v>
      </c>
      <c r="AF173" s="4" t="s">
        <v>19</v>
      </c>
      <c r="AG173" s="4" t="s">
        <v>19</v>
      </c>
      <c r="AH173" s="17">
        <v>250897.54</v>
      </c>
    </row>
    <row r="174" spans="2:34" ht="15">
      <c r="B174" s="1" t="s">
        <v>0</v>
      </c>
      <c r="C174" s="2">
        <v>43600</v>
      </c>
      <c r="D174" s="1" t="s">
        <v>1</v>
      </c>
      <c r="E174" s="1" t="s">
        <v>1226</v>
      </c>
      <c r="F174" s="1" t="s">
        <v>3</v>
      </c>
      <c r="G174" s="1" t="s">
        <v>4</v>
      </c>
      <c r="H174" s="1" t="s">
        <v>90</v>
      </c>
      <c r="I174" s="2">
        <v>43599</v>
      </c>
      <c r="J174" s="3">
        <v>0.6508564814814815</v>
      </c>
      <c r="K174" s="2">
        <v>43601</v>
      </c>
      <c r="L174" s="1" t="s">
        <v>6</v>
      </c>
      <c r="M174" s="1"/>
      <c r="N174" s="1" t="s">
        <v>827</v>
      </c>
      <c r="O174" s="1" t="s">
        <v>359</v>
      </c>
      <c r="P174" s="1" t="s">
        <v>360</v>
      </c>
      <c r="Q174" s="1" t="s">
        <v>4</v>
      </c>
      <c r="R174" s="1" t="s">
        <v>4</v>
      </c>
      <c r="S174" s="1" t="s">
        <v>10</v>
      </c>
      <c r="T174" s="1"/>
      <c r="U174" s="1"/>
      <c r="V174" s="1"/>
      <c r="W174" s="1" t="s">
        <v>27</v>
      </c>
      <c r="X174" s="16">
        <v>41000</v>
      </c>
      <c r="Y174" s="16">
        <v>41000</v>
      </c>
      <c r="Z174" s="1" t="s">
        <v>1228</v>
      </c>
      <c r="AA174" s="1" t="s">
        <v>1229</v>
      </c>
      <c r="AB174" s="1" t="s">
        <v>1230</v>
      </c>
      <c r="AC174" s="1" t="s">
        <v>1231</v>
      </c>
      <c r="AD174" s="1" t="s">
        <v>17</v>
      </c>
      <c r="AE174" s="1" t="s">
        <v>18</v>
      </c>
      <c r="AF174" s="1" t="s">
        <v>19</v>
      </c>
      <c r="AG174" s="1" t="s">
        <v>19</v>
      </c>
      <c r="AH174" s="16">
        <v>128176.84</v>
      </c>
    </row>
    <row r="175" spans="2:34" ht="15">
      <c r="B175" s="4" t="s">
        <v>153</v>
      </c>
      <c r="C175" s="5">
        <v>43600</v>
      </c>
      <c r="D175" s="4" t="s">
        <v>154</v>
      </c>
      <c r="E175" s="4" t="s">
        <v>1232</v>
      </c>
      <c r="F175" s="4" t="s">
        <v>3</v>
      </c>
      <c r="G175" s="4" t="s">
        <v>4</v>
      </c>
      <c r="H175" s="4" t="s">
        <v>632</v>
      </c>
      <c r="I175" s="5">
        <v>43599</v>
      </c>
      <c r="J175" s="6">
        <v>0.4725810185185185</v>
      </c>
      <c r="K175" s="5">
        <v>43601</v>
      </c>
      <c r="L175" s="4" t="s">
        <v>6</v>
      </c>
      <c r="M175" s="4"/>
      <c r="N175" s="4" t="s">
        <v>401</v>
      </c>
      <c r="O175" s="4" t="s">
        <v>402</v>
      </c>
      <c r="P175" s="4" t="s">
        <v>403</v>
      </c>
      <c r="Q175" s="4" t="s">
        <v>4</v>
      </c>
      <c r="R175" s="4" t="s">
        <v>4</v>
      </c>
      <c r="S175" s="4" t="s">
        <v>10</v>
      </c>
      <c r="T175" s="4"/>
      <c r="U175" s="4"/>
      <c r="V175" s="4"/>
      <c r="W175" s="4" t="s">
        <v>27</v>
      </c>
      <c r="X175" s="17">
        <v>45000</v>
      </c>
      <c r="Y175" s="17">
        <v>45000</v>
      </c>
      <c r="Z175" s="4" t="s">
        <v>1032</v>
      </c>
      <c r="AA175" s="4" t="s">
        <v>1233</v>
      </c>
      <c r="AB175" s="4" t="s">
        <v>1234</v>
      </c>
      <c r="AC175" s="4" t="s">
        <v>1235</v>
      </c>
      <c r="AD175" s="4" t="s">
        <v>17</v>
      </c>
      <c r="AE175" s="4" t="s">
        <v>17</v>
      </c>
      <c r="AF175" s="4" t="s">
        <v>19</v>
      </c>
      <c r="AG175" s="4" t="s">
        <v>19</v>
      </c>
      <c r="AH175" s="17">
        <v>6988.95</v>
      </c>
    </row>
    <row r="176" spans="2:34" ht="15">
      <c r="B176" s="1" t="s">
        <v>20</v>
      </c>
      <c r="C176" s="2">
        <v>43601</v>
      </c>
      <c r="D176" s="1" t="s">
        <v>21</v>
      </c>
      <c r="E176" s="1" t="s">
        <v>1236</v>
      </c>
      <c r="F176" s="1" t="s">
        <v>3</v>
      </c>
      <c r="G176" s="1" t="s">
        <v>4</v>
      </c>
      <c r="H176" s="1" t="s">
        <v>119</v>
      </c>
      <c r="I176" s="2">
        <v>43601</v>
      </c>
      <c r="J176" s="3">
        <v>0.3950462962962963</v>
      </c>
      <c r="K176" s="2">
        <v>43605</v>
      </c>
      <c r="L176" s="1" t="s">
        <v>6</v>
      </c>
      <c r="M176" s="1"/>
      <c r="N176" s="1" t="s">
        <v>1127</v>
      </c>
      <c r="O176" s="1" t="s">
        <v>1128</v>
      </c>
      <c r="P176" s="1" t="s">
        <v>1129</v>
      </c>
      <c r="Q176" s="1" t="s">
        <v>4</v>
      </c>
      <c r="R176" s="1" t="s">
        <v>4</v>
      </c>
      <c r="S176" s="1" t="s">
        <v>10</v>
      </c>
      <c r="T176" s="1"/>
      <c r="U176" s="1"/>
      <c r="V176" s="1"/>
      <c r="W176" s="1" t="s">
        <v>11</v>
      </c>
      <c r="X176" s="16">
        <v>1399427</v>
      </c>
      <c r="Y176" s="16">
        <v>1399427</v>
      </c>
      <c r="Z176" s="1" t="s">
        <v>1068</v>
      </c>
      <c r="AA176" s="1" t="s">
        <v>1238</v>
      </c>
      <c r="AB176" s="1" t="s">
        <v>1239</v>
      </c>
      <c r="AC176" s="1" t="s">
        <v>1240</v>
      </c>
      <c r="AD176" s="1" t="s">
        <v>17</v>
      </c>
      <c r="AE176" s="1" t="s">
        <v>18</v>
      </c>
      <c r="AF176" s="1" t="s">
        <v>19</v>
      </c>
      <c r="AG176" s="1" t="s">
        <v>19</v>
      </c>
      <c r="AH176" s="16">
        <v>2793255.292</v>
      </c>
    </row>
    <row r="177" spans="2:34" ht="15">
      <c r="B177" s="4" t="s">
        <v>0</v>
      </c>
      <c r="C177" s="5">
        <v>43606</v>
      </c>
      <c r="D177" s="4" t="s">
        <v>1</v>
      </c>
      <c r="E177" s="4" t="s">
        <v>1241</v>
      </c>
      <c r="F177" s="4" t="s">
        <v>3</v>
      </c>
      <c r="G177" s="4" t="s">
        <v>4</v>
      </c>
      <c r="H177" s="4" t="s">
        <v>119</v>
      </c>
      <c r="I177" s="5">
        <v>43605</v>
      </c>
      <c r="J177" s="6">
        <v>0.6786458333333333</v>
      </c>
      <c r="K177" s="5">
        <v>43607</v>
      </c>
      <c r="L177" s="4" t="s">
        <v>6</v>
      </c>
      <c r="M177" s="4"/>
      <c r="N177" s="4" t="s">
        <v>110</v>
      </c>
      <c r="O177" s="4" t="s">
        <v>111</v>
      </c>
      <c r="P177" s="4" t="s">
        <v>112</v>
      </c>
      <c r="Q177" s="4" t="s">
        <v>4</v>
      </c>
      <c r="R177" s="4" t="s">
        <v>4</v>
      </c>
      <c r="S177" s="4" t="s">
        <v>10</v>
      </c>
      <c r="T177" s="4"/>
      <c r="U177" s="4"/>
      <c r="V177" s="4"/>
      <c r="W177" s="4" t="s">
        <v>11</v>
      </c>
      <c r="X177" s="17">
        <v>7192</v>
      </c>
      <c r="Y177" s="17">
        <v>7192</v>
      </c>
      <c r="Z177" s="4" t="s">
        <v>114</v>
      </c>
      <c r="AA177" s="4" t="s">
        <v>1243</v>
      </c>
      <c r="AB177" s="4" t="s">
        <v>1244</v>
      </c>
      <c r="AC177" s="4" t="s">
        <v>1245</v>
      </c>
      <c r="AD177" s="4" t="s">
        <v>17</v>
      </c>
      <c r="AE177" s="4" t="s">
        <v>18</v>
      </c>
      <c r="AF177" s="4" t="s">
        <v>19</v>
      </c>
      <c r="AG177" s="4" t="s">
        <v>19</v>
      </c>
      <c r="AH177" s="17">
        <v>20455.2056</v>
      </c>
    </row>
    <row r="178" spans="2:34" ht="15">
      <c r="B178" s="1" t="s">
        <v>20</v>
      </c>
      <c r="C178" s="2">
        <v>43607</v>
      </c>
      <c r="D178" s="1" t="s">
        <v>21</v>
      </c>
      <c r="E178" s="1" t="s">
        <v>1246</v>
      </c>
      <c r="F178" s="1" t="s">
        <v>3</v>
      </c>
      <c r="G178" s="1" t="s">
        <v>4</v>
      </c>
      <c r="H178" s="1" t="s">
        <v>119</v>
      </c>
      <c r="I178" s="2">
        <v>43606</v>
      </c>
      <c r="J178" s="3">
        <v>0.6729166666666667</v>
      </c>
      <c r="K178" s="2">
        <v>43608</v>
      </c>
      <c r="L178" s="1" t="s">
        <v>6</v>
      </c>
      <c r="M178" s="1"/>
      <c r="N178" s="1" t="s">
        <v>950</v>
      </c>
      <c r="O178" s="1" t="s">
        <v>951</v>
      </c>
      <c r="P178" s="1" t="s">
        <v>952</v>
      </c>
      <c r="Q178" s="1" t="s">
        <v>4</v>
      </c>
      <c r="R178" s="1" t="s">
        <v>4</v>
      </c>
      <c r="S178" s="1" t="s">
        <v>10</v>
      </c>
      <c r="T178" s="1"/>
      <c r="U178" s="1"/>
      <c r="V178" s="1"/>
      <c r="W178" s="1" t="s">
        <v>11</v>
      </c>
      <c r="X178" s="16">
        <v>246299</v>
      </c>
      <c r="Y178" s="16">
        <v>246299</v>
      </c>
      <c r="Z178" s="1" t="s">
        <v>1248</v>
      </c>
      <c r="AA178" s="1" t="s">
        <v>1249</v>
      </c>
      <c r="AB178" s="1" t="s">
        <v>1250</v>
      </c>
      <c r="AC178" s="1" t="s">
        <v>1251</v>
      </c>
      <c r="AD178" s="1" t="s">
        <v>17</v>
      </c>
      <c r="AE178" s="1" t="s">
        <v>18</v>
      </c>
      <c r="AF178" s="1" t="s">
        <v>19</v>
      </c>
      <c r="AG178" s="1" t="s">
        <v>19</v>
      </c>
      <c r="AH178" s="16">
        <v>319547.3226</v>
      </c>
    </row>
    <row r="179" spans="2:34" ht="15">
      <c r="B179" s="4" t="s">
        <v>0</v>
      </c>
      <c r="C179" s="5">
        <v>43607</v>
      </c>
      <c r="D179" s="4" t="s">
        <v>1</v>
      </c>
      <c r="E179" s="4" t="s">
        <v>1252</v>
      </c>
      <c r="F179" s="4" t="s">
        <v>3</v>
      </c>
      <c r="G179" s="4" t="s">
        <v>4</v>
      </c>
      <c r="H179" s="4" t="s">
        <v>183</v>
      </c>
      <c r="I179" s="5">
        <v>43606</v>
      </c>
      <c r="J179" s="6">
        <v>0.5348958333333333</v>
      </c>
      <c r="K179" s="5">
        <v>43608</v>
      </c>
      <c r="L179" s="4" t="s">
        <v>6</v>
      </c>
      <c r="M179" s="4"/>
      <c r="N179" s="4" t="s">
        <v>1253</v>
      </c>
      <c r="O179" s="4" t="s">
        <v>1254</v>
      </c>
      <c r="P179" s="4" t="s">
        <v>1255</v>
      </c>
      <c r="Q179" s="4" t="s">
        <v>4</v>
      </c>
      <c r="R179" s="4" t="s">
        <v>4</v>
      </c>
      <c r="S179" s="4" t="s">
        <v>10</v>
      </c>
      <c r="T179" s="4"/>
      <c r="U179" s="4"/>
      <c r="V179" s="4"/>
      <c r="W179" s="4" t="s">
        <v>11</v>
      </c>
      <c r="X179" s="17">
        <v>49550</v>
      </c>
      <c r="Y179" s="17">
        <v>49550</v>
      </c>
      <c r="Z179" s="4" t="s">
        <v>1257</v>
      </c>
      <c r="AA179" s="4" t="s">
        <v>1258</v>
      </c>
      <c r="AB179" s="4" t="s">
        <v>1259</v>
      </c>
      <c r="AC179" s="4" t="s">
        <v>1260</v>
      </c>
      <c r="AD179" s="4" t="s">
        <v>17</v>
      </c>
      <c r="AE179" s="4" t="s">
        <v>18</v>
      </c>
      <c r="AF179" s="4" t="s">
        <v>19</v>
      </c>
      <c r="AG179" s="4" t="s">
        <v>19</v>
      </c>
      <c r="AH179" s="17">
        <v>27938.7585</v>
      </c>
    </row>
    <row r="180" spans="2:34" ht="15">
      <c r="B180" s="1" t="s">
        <v>0</v>
      </c>
      <c r="C180" s="2">
        <v>43607</v>
      </c>
      <c r="D180" s="1" t="s">
        <v>1</v>
      </c>
      <c r="E180" s="1" t="s">
        <v>1261</v>
      </c>
      <c r="F180" s="1" t="s">
        <v>3</v>
      </c>
      <c r="G180" s="1" t="s">
        <v>4</v>
      </c>
      <c r="H180" s="1" t="s">
        <v>119</v>
      </c>
      <c r="I180" s="2">
        <v>43606</v>
      </c>
      <c r="J180" s="3">
        <v>0.6410185185185185</v>
      </c>
      <c r="K180" s="2">
        <v>43608</v>
      </c>
      <c r="L180" s="1" t="s">
        <v>6</v>
      </c>
      <c r="M180" s="1"/>
      <c r="N180" s="1" t="s">
        <v>110</v>
      </c>
      <c r="O180" s="1" t="s">
        <v>111</v>
      </c>
      <c r="P180" s="1" t="s">
        <v>112</v>
      </c>
      <c r="Q180" s="1" t="s">
        <v>4</v>
      </c>
      <c r="R180" s="1" t="s">
        <v>4</v>
      </c>
      <c r="S180" s="1" t="s">
        <v>10</v>
      </c>
      <c r="T180" s="1"/>
      <c r="U180" s="1"/>
      <c r="V180" s="1"/>
      <c r="W180" s="1" t="s">
        <v>11</v>
      </c>
      <c r="X180" s="16">
        <v>3000</v>
      </c>
      <c r="Y180" s="16">
        <v>3000</v>
      </c>
      <c r="Z180" s="1" t="s">
        <v>1262</v>
      </c>
      <c r="AA180" s="1" t="s">
        <v>1263</v>
      </c>
      <c r="AB180" s="1" t="s">
        <v>1264</v>
      </c>
      <c r="AC180" s="1" t="s">
        <v>1265</v>
      </c>
      <c r="AD180" s="1" t="s">
        <v>17</v>
      </c>
      <c r="AE180" s="1" t="s">
        <v>17</v>
      </c>
      <c r="AF180" s="1" t="s">
        <v>19</v>
      </c>
      <c r="AG180" s="1" t="s">
        <v>19</v>
      </c>
      <c r="AH180" s="16">
        <v>8862.24</v>
      </c>
    </row>
    <row r="181" spans="2:34" ht="15">
      <c r="B181" s="4" t="s">
        <v>0</v>
      </c>
      <c r="C181" s="5">
        <v>43607</v>
      </c>
      <c r="D181" s="4" t="s">
        <v>1</v>
      </c>
      <c r="E181" s="4" t="s">
        <v>1266</v>
      </c>
      <c r="F181" s="4" t="s">
        <v>3</v>
      </c>
      <c r="G181" s="4" t="s">
        <v>4</v>
      </c>
      <c r="H181" s="4" t="s">
        <v>119</v>
      </c>
      <c r="I181" s="5">
        <v>43606</v>
      </c>
      <c r="J181" s="6">
        <v>0.6729166666666667</v>
      </c>
      <c r="K181" s="5">
        <v>43608</v>
      </c>
      <c r="L181" s="4" t="s">
        <v>6</v>
      </c>
      <c r="M181" s="4"/>
      <c r="N181" s="4" t="s">
        <v>950</v>
      </c>
      <c r="O181" s="4" t="s">
        <v>951</v>
      </c>
      <c r="P181" s="4" t="s">
        <v>952</v>
      </c>
      <c r="Q181" s="4" t="s">
        <v>4</v>
      </c>
      <c r="R181" s="4" t="s">
        <v>4</v>
      </c>
      <c r="S181" s="4" t="s">
        <v>10</v>
      </c>
      <c r="T181" s="4"/>
      <c r="U181" s="4"/>
      <c r="V181" s="4"/>
      <c r="W181" s="4" t="s">
        <v>11</v>
      </c>
      <c r="X181" s="17">
        <v>53701</v>
      </c>
      <c r="Y181" s="17">
        <v>53701</v>
      </c>
      <c r="Z181" s="4" t="s">
        <v>1248</v>
      </c>
      <c r="AA181" s="4" t="s">
        <v>1268</v>
      </c>
      <c r="AB181" s="4" t="s">
        <v>1269</v>
      </c>
      <c r="AC181" s="4" t="s">
        <v>1270</v>
      </c>
      <c r="AD181" s="4" t="s">
        <v>17</v>
      </c>
      <c r="AE181" s="4" t="s">
        <v>18</v>
      </c>
      <c r="AF181" s="4" t="s">
        <v>19</v>
      </c>
      <c r="AG181" s="4" t="s">
        <v>19</v>
      </c>
      <c r="AH181" s="17">
        <v>69670.6774</v>
      </c>
    </row>
    <row r="182" spans="2:34" ht="15">
      <c r="B182" s="1" t="s">
        <v>20</v>
      </c>
      <c r="C182" s="2">
        <v>43608</v>
      </c>
      <c r="D182" s="1" t="s">
        <v>21</v>
      </c>
      <c r="E182" s="1" t="s">
        <v>1271</v>
      </c>
      <c r="F182" s="1" t="s">
        <v>3</v>
      </c>
      <c r="G182" s="1" t="s">
        <v>4</v>
      </c>
      <c r="H182" s="1" t="s">
        <v>119</v>
      </c>
      <c r="I182" s="2">
        <v>43607</v>
      </c>
      <c r="J182" s="3">
        <v>0.5063888888888889</v>
      </c>
      <c r="K182" s="2">
        <v>43609</v>
      </c>
      <c r="L182" s="1" t="s">
        <v>6</v>
      </c>
      <c r="M182" s="1"/>
      <c r="N182" s="1" t="s">
        <v>950</v>
      </c>
      <c r="O182" s="1" t="s">
        <v>951</v>
      </c>
      <c r="P182" s="1" t="s">
        <v>952</v>
      </c>
      <c r="Q182" s="1" t="s">
        <v>4</v>
      </c>
      <c r="R182" s="1" t="s">
        <v>4</v>
      </c>
      <c r="S182" s="1" t="s">
        <v>10</v>
      </c>
      <c r="T182" s="1"/>
      <c r="U182" s="1"/>
      <c r="V182" s="1"/>
      <c r="W182" s="1" t="s">
        <v>11</v>
      </c>
      <c r="X182" s="16">
        <v>41050</v>
      </c>
      <c r="Y182" s="16">
        <v>41050</v>
      </c>
      <c r="Z182" s="1" t="s">
        <v>1248</v>
      </c>
      <c r="AA182" s="1" t="s">
        <v>1273</v>
      </c>
      <c r="AB182" s="1" t="s">
        <v>1274</v>
      </c>
      <c r="AC182" s="1" t="s">
        <v>1275</v>
      </c>
      <c r="AD182" s="1" t="s">
        <v>17</v>
      </c>
      <c r="AE182" s="1" t="s">
        <v>18</v>
      </c>
      <c r="AF182" s="1" t="s">
        <v>19</v>
      </c>
      <c r="AG182" s="1" t="s">
        <v>19</v>
      </c>
      <c r="AH182" s="16">
        <v>53257.27</v>
      </c>
    </row>
    <row r="183" spans="2:34" ht="15">
      <c r="B183" s="4" t="s">
        <v>20</v>
      </c>
      <c r="C183" s="5">
        <v>43608</v>
      </c>
      <c r="D183" s="4" t="s">
        <v>21</v>
      </c>
      <c r="E183" s="4" t="s">
        <v>1276</v>
      </c>
      <c r="F183" s="4" t="s">
        <v>3</v>
      </c>
      <c r="G183" s="4" t="s">
        <v>4</v>
      </c>
      <c r="H183" s="4" t="s">
        <v>1277</v>
      </c>
      <c r="I183" s="5">
        <v>43607</v>
      </c>
      <c r="J183" s="6">
        <v>0.6388888888888888</v>
      </c>
      <c r="K183" s="5">
        <v>43609</v>
      </c>
      <c r="L183" s="4" t="s">
        <v>6</v>
      </c>
      <c r="M183" s="4"/>
      <c r="N183" s="4" t="s">
        <v>1278</v>
      </c>
      <c r="O183" s="4" t="s">
        <v>1279</v>
      </c>
      <c r="P183" s="4" t="s">
        <v>1280</v>
      </c>
      <c r="Q183" s="4" t="s">
        <v>4</v>
      </c>
      <c r="R183" s="4" t="s">
        <v>4</v>
      </c>
      <c r="S183" s="4" t="s">
        <v>10</v>
      </c>
      <c r="T183" s="4"/>
      <c r="U183" s="4"/>
      <c r="V183" s="4"/>
      <c r="W183" s="4" t="s">
        <v>11</v>
      </c>
      <c r="X183" s="17">
        <v>250000</v>
      </c>
      <c r="Y183" s="17">
        <v>250000</v>
      </c>
      <c r="Z183" s="4" t="s">
        <v>1281</v>
      </c>
      <c r="AA183" s="4" t="s">
        <v>404</v>
      </c>
      <c r="AB183" s="4" t="s">
        <v>1282</v>
      </c>
      <c r="AC183" s="4" t="s">
        <v>1283</v>
      </c>
      <c r="AD183" s="4" t="s">
        <v>17</v>
      </c>
      <c r="AE183" s="4" t="s">
        <v>18</v>
      </c>
      <c r="AF183" s="4" t="s">
        <v>19</v>
      </c>
      <c r="AG183" s="4" t="s">
        <v>19</v>
      </c>
      <c r="AH183" s="17">
        <v>164669</v>
      </c>
    </row>
    <row r="184" spans="2:34" ht="15">
      <c r="B184" s="1" t="s">
        <v>0</v>
      </c>
      <c r="C184" s="2">
        <v>43608</v>
      </c>
      <c r="D184" s="1" t="s">
        <v>1</v>
      </c>
      <c r="E184" s="1" t="s">
        <v>1284</v>
      </c>
      <c r="F184" s="1" t="s">
        <v>3</v>
      </c>
      <c r="G184" s="1" t="s">
        <v>4</v>
      </c>
      <c r="H184" s="1" t="s">
        <v>119</v>
      </c>
      <c r="I184" s="2">
        <v>43607</v>
      </c>
      <c r="J184" s="3">
        <v>0.5063888888888889</v>
      </c>
      <c r="K184" s="2">
        <v>43609</v>
      </c>
      <c r="L184" s="1" t="s">
        <v>6</v>
      </c>
      <c r="M184" s="1"/>
      <c r="N184" s="1" t="s">
        <v>950</v>
      </c>
      <c r="O184" s="1" t="s">
        <v>951</v>
      </c>
      <c r="P184" s="1" t="s">
        <v>952</v>
      </c>
      <c r="Q184" s="1" t="s">
        <v>4</v>
      </c>
      <c r="R184" s="1" t="s">
        <v>4</v>
      </c>
      <c r="S184" s="1" t="s">
        <v>10</v>
      </c>
      <c r="T184" s="1"/>
      <c r="U184" s="1"/>
      <c r="V184" s="1"/>
      <c r="W184" s="1" t="s">
        <v>11</v>
      </c>
      <c r="X184" s="16">
        <v>8950</v>
      </c>
      <c r="Y184" s="16">
        <v>8950</v>
      </c>
      <c r="Z184" s="1" t="s">
        <v>1248</v>
      </c>
      <c r="AA184" s="1" t="s">
        <v>1286</v>
      </c>
      <c r="AB184" s="1" t="s">
        <v>1287</v>
      </c>
      <c r="AC184" s="1" t="s">
        <v>1288</v>
      </c>
      <c r="AD184" s="1" t="s">
        <v>17</v>
      </c>
      <c r="AE184" s="1" t="s">
        <v>18</v>
      </c>
      <c r="AF184" s="1" t="s">
        <v>19</v>
      </c>
      <c r="AG184" s="1" t="s">
        <v>19</v>
      </c>
      <c r="AH184" s="16">
        <v>11610.73</v>
      </c>
    </row>
    <row r="185" spans="2:34" ht="15">
      <c r="B185" s="4" t="s">
        <v>20</v>
      </c>
      <c r="C185" s="5">
        <v>43609</v>
      </c>
      <c r="D185" s="4" t="s">
        <v>21</v>
      </c>
      <c r="E185" s="4" t="s">
        <v>1289</v>
      </c>
      <c r="F185" s="4" t="s">
        <v>3</v>
      </c>
      <c r="G185" s="4" t="s">
        <v>4</v>
      </c>
      <c r="H185" s="4" t="s">
        <v>126</v>
      </c>
      <c r="I185" s="5">
        <v>43608</v>
      </c>
      <c r="J185" s="6">
        <v>0.5184837962962963</v>
      </c>
      <c r="K185" s="5">
        <v>43613</v>
      </c>
      <c r="L185" s="4" t="s">
        <v>6</v>
      </c>
      <c r="M185" s="4"/>
      <c r="N185" s="4" t="s">
        <v>1175</v>
      </c>
      <c r="O185" s="4" t="s">
        <v>1176</v>
      </c>
      <c r="P185" s="4" t="s">
        <v>1177</v>
      </c>
      <c r="Q185" s="4" t="s">
        <v>4</v>
      </c>
      <c r="R185" s="4" t="s">
        <v>4</v>
      </c>
      <c r="S185" s="4" t="s">
        <v>10</v>
      </c>
      <c r="T185" s="4"/>
      <c r="U185" s="4"/>
      <c r="V185" s="4"/>
      <c r="W185" s="4" t="s">
        <v>11</v>
      </c>
      <c r="X185" s="17">
        <v>10000</v>
      </c>
      <c r="Y185" s="17">
        <v>10000</v>
      </c>
      <c r="Z185" s="4" t="s">
        <v>1290</v>
      </c>
      <c r="AA185" s="4" t="s">
        <v>1291</v>
      </c>
      <c r="AB185" s="4" t="s">
        <v>1292</v>
      </c>
      <c r="AC185" s="4" t="s">
        <v>1293</v>
      </c>
      <c r="AD185" s="4" t="s">
        <v>17</v>
      </c>
      <c r="AE185" s="4" t="s">
        <v>18</v>
      </c>
      <c r="AF185" s="4" t="s">
        <v>19</v>
      </c>
      <c r="AG185" s="4" t="s">
        <v>19</v>
      </c>
      <c r="AH185" s="17">
        <v>29340.2</v>
      </c>
    </row>
    <row r="186" spans="2:34" ht="15">
      <c r="B186" s="1" t="s">
        <v>20</v>
      </c>
      <c r="C186" s="2">
        <v>43609</v>
      </c>
      <c r="D186" s="1" t="s">
        <v>21</v>
      </c>
      <c r="E186" s="1" t="s">
        <v>1294</v>
      </c>
      <c r="F186" s="1" t="s">
        <v>3</v>
      </c>
      <c r="G186" s="1" t="s">
        <v>4</v>
      </c>
      <c r="H186" s="1" t="s">
        <v>119</v>
      </c>
      <c r="I186" s="2">
        <v>43608</v>
      </c>
      <c r="J186" s="3">
        <v>0.6764467592592592</v>
      </c>
      <c r="K186" s="2">
        <v>43613</v>
      </c>
      <c r="L186" s="1" t="s">
        <v>6</v>
      </c>
      <c r="M186" s="1"/>
      <c r="N186" s="1" t="s">
        <v>950</v>
      </c>
      <c r="O186" s="1" t="s">
        <v>951</v>
      </c>
      <c r="P186" s="1" t="s">
        <v>952</v>
      </c>
      <c r="Q186" s="1" t="s">
        <v>4</v>
      </c>
      <c r="R186" s="1" t="s">
        <v>4</v>
      </c>
      <c r="S186" s="1" t="s">
        <v>10</v>
      </c>
      <c r="T186" s="1"/>
      <c r="U186" s="1"/>
      <c r="V186" s="1"/>
      <c r="W186" s="1" t="s">
        <v>11</v>
      </c>
      <c r="X186" s="16">
        <v>197039</v>
      </c>
      <c r="Y186" s="16">
        <v>197039</v>
      </c>
      <c r="Z186" s="1" t="s">
        <v>1248</v>
      </c>
      <c r="AA186" s="1" t="s">
        <v>1296</v>
      </c>
      <c r="AB186" s="1" t="s">
        <v>1297</v>
      </c>
      <c r="AC186" s="1" t="s">
        <v>1298</v>
      </c>
      <c r="AD186" s="1" t="s">
        <v>17</v>
      </c>
      <c r="AE186" s="1" t="s">
        <v>18</v>
      </c>
      <c r="AF186" s="1" t="s">
        <v>19</v>
      </c>
      <c r="AG186" s="1" t="s">
        <v>19</v>
      </c>
      <c r="AH186" s="16">
        <v>255637.3986</v>
      </c>
    </row>
    <row r="187" spans="2:34" ht="15">
      <c r="B187" s="4" t="s">
        <v>0</v>
      </c>
      <c r="C187" s="5">
        <v>43609</v>
      </c>
      <c r="D187" s="4" t="s">
        <v>1</v>
      </c>
      <c r="E187" s="4" t="s">
        <v>1299</v>
      </c>
      <c r="F187" s="4" t="s">
        <v>3</v>
      </c>
      <c r="G187" s="4" t="s">
        <v>4</v>
      </c>
      <c r="H187" s="4" t="s">
        <v>119</v>
      </c>
      <c r="I187" s="5">
        <v>43608</v>
      </c>
      <c r="J187" s="6">
        <v>0.6764467592592592</v>
      </c>
      <c r="K187" s="5">
        <v>43613</v>
      </c>
      <c r="L187" s="4" t="s">
        <v>6</v>
      </c>
      <c r="M187" s="4"/>
      <c r="N187" s="4" t="s">
        <v>950</v>
      </c>
      <c r="O187" s="4" t="s">
        <v>951</v>
      </c>
      <c r="P187" s="4" t="s">
        <v>952</v>
      </c>
      <c r="Q187" s="4" t="s">
        <v>4</v>
      </c>
      <c r="R187" s="4" t="s">
        <v>4</v>
      </c>
      <c r="S187" s="4" t="s">
        <v>10</v>
      </c>
      <c r="T187" s="4"/>
      <c r="U187" s="4"/>
      <c r="V187" s="4"/>
      <c r="W187" s="4" t="s">
        <v>11</v>
      </c>
      <c r="X187" s="17">
        <v>42961</v>
      </c>
      <c r="Y187" s="17">
        <v>42961</v>
      </c>
      <c r="Z187" s="4" t="s">
        <v>1248</v>
      </c>
      <c r="AA187" s="4" t="s">
        <v>1301</v>
      </c>
      <c r="AB187" s="4" t="s">
        <v>1302</v>
      </c>
      <c r="AC187" s="4" t="s">
        <v>1303</v>
      </c>
      <c r="AD187" s="4" t="s">
        <v>17</v>
      </c>
      <c r="AE187" s="4" t="s">
        <v>18</v>
      </c>
      <c r="AF187" s="4" t="s">
        <v>19</v>
      </c>
      <c r="AG187" s="4" t="s">
        <v>19</v>
      </c>
      <c r="AH187" s="17">
        <v>55736.6014</v>
      </c>
    </row>
    <row r="188" spans="2:34" ht="15">
      <c r="B188" s="1" t="s">
        <v>20</v>
      </c>
      <c r="C188" s="2">
        <v>43613</v>
      </c>
      <c r="D188" s="1" t="s">
        <v>21</v>
      </c>
      <c r="E188" s="1" t="s">
        <v>1304</v>
      </c>
      <c r="F188" s="1" t="s">
        <v>3</v>
      </c>
      <c r="G188" s="1" t="s">
        <v>4</v>
      </c>
      <c r="H188" s="1" t="s">
        <v>119</v>
      </c>
      <c r="I188" s="2">
        <v>43609</v>
      </c>
      <c r="J188" s="3">
        <v>0.6620023148148149</v>
      </c>
      <c r="K188" s="2">
        <v>43614</v>
      </c>
      <c r="L188" s="1" t="s">
        <v>6</v>
      </c>
      <c r="M188" s="1"/>
      <c r="N188" s="1" t="s">
        <v>950</v>
      </c>
      <c r="O188" s="1" t="s">
        <v>951</v>
      </c>
      <c r="P188" s="1" t="s">
        <v>952</v>
      </c>
      <c r="Q188" s="1" t="s">
        <v>4</v>
      </c>
      <c r="R188" s="1" t="s">
        <v>4</v>
      </c>
      <c r="S188" s="1" t="s">
        <v>10</v>
      </c>
      <c r="T188" s="1"/>
      <c r="U188" s="1"/>
      <c r="V188" s="1"/>
      <c r="W188" s="1" t="s">
        <v>11</v>
      </c>
      <c r="X188" s="16">
        <v>632166</v>
      </c>
      <c r="Y188" s="16">
        <v>632166</v>
      </c>
      <c r="Z188" s="1" t="s">
        <v>1248</v>
      </c>
      <c r="AA188" s="1" t="s">
        <v>1306</v>
      </c>
      <c r="AB188" s="1" t="s">
        <v>1307</v>
      </c>
      <c r="AC188" s="1" t="s">
        <v>1308</v>
      </c>
      <c r="AD188" s="1" t="s">
        <v>17</v>
      </c>
      <c r="AE188" s="1" t="s">
        <v>18</v>
      </c>
      <c r="AF188" s="1" t="s">
        <v>19</v>
      </c>
      <c r="AG188" s="1" t="s">
        <v>19</v>
      </c>
      <c r="AH188" s="16">
        <v>820171.1684</v>
      </c>
    </row>
    <row r="189" spans="2:34" ht="15">
      <c r="B189" s="4" t="s">
        <v>0</v>
      </c>
      <c r="C189" s="5">
        <v>43613</v>
      </c>
      <c r="D189" s="4" t="s">
        <v>1</v>
      </c>
      <c r="E189" s="4" t="s">
        <v>1309</v>
      </c>
      <c r="F189" s="4" t="s">
        <v>3</v>
      </c>
      <c r="G189" s="4" t="s">
        <v>4</v>
      </c>
      <c r="H189" s="4" t="s">
        <v>119</v>
      </c>
      <c r="I189" s="5">
        <v>43609</v>
      </c>
      <c r="J189" s="6">
        <v>0.6620023148148149</v>
      </c>
      <c r="K189" s="5">
        <v>43614</v>
      </c>
      <c r="L189" s="4" t="s">
        <v>6</v>
      </c>
      <c r="M189" s="4"/>
      <c r="N189" s="4" t="s">
        <v>950</v>
      </c>
      <c r="O189" s="4" t="s">
        <v>951</v>
      </c>
      <c r="P189" s="4" t="s">
        <v>952</v>
      </c>
      <c r="Q189" s="4" t="s">
        <v>4</v>
      </c>
      <c r="R189" s="4" t="s">
        <v>4</v>
      </c>
      <c r="S189" s="4" t="s">
        <v>10</v>
      </c>
      <c r="T189" s="4"/>
      <c r="U189" s="4"/>
      <c r="V189" s="4"/>
      <c r="W189" s="4" t="s">
        <v>11</v>
      </c>
      <c r="X189" s="17">
        <v>137834</v>
      </c>
      <c r="Y189" s="17">
        <v>137834</v>
      </c>
      <c r="Z189" s="4" t="s">
        <v>1248</v>
      </c>
      <c r="AA189" s="4" t="s">
        <v>1311</v>
      </c>
      <c r="AB189" s="4" t="s">
        <v>1312</v>
      </c>
      <c r="AC189" s="4" t="s">
        <v>1313</v>
      </c>
      <c r="AD189" s="4" t="s">
        <v>17</v>
      </c>
      <c r="AE189" s="4" t="s">
        <v>18</v>
      </c>
      <c r="AF189" s="4" t="s">
        <v>19</v>
      </c>
      <c r="AG189" s="4" t="s">
        <v>19</v>
      </c>
      <c r="AH189" s="17">
        <v>178824.8316</v>
      </c>
    </row>
    <row r="190" spans="2:34" ht="15">
      <c r="B190" s="1" t="s">
        <v>0</v>
      </c>
      <c r="C190" s="2">
        <v>43616</v>
      </c>
      <c r="D190" s="1" t="s">
        <v>1</v>
      </c>
      <c r="E190" s="1" t="s">
        <v>1314</v>
      </c>
      <c r="F190" s="1" t="s">
        <v>3</v>
      </c>
      <c r="G190" s="1" t="s">
        <v>4</v>
      </c>
      <c r="H190" s="1" t="s">
        <v>119</v>
      </c>
      <c r="I190" s="2">
        <v>43616</v>
      </c>
      <c r="J190" s="3">
        <v>0.3701388888888889</v>
      </c>
      <c r="K190" s="2">
        <v>43620</v>
      </c>
      <c r="L190" s="1" t="s">
        <v>6</v>
      </c>
      <c r="M190" s="1"/>
      <c r="N190" s="1" t="s">
        <v>194</v>
      </c>
      <c r="O190" s="1" t="s">
        <v>195</v>
      </c>
      <c r="P190" s="1" t="s">
        <v>196</v>
      </c>
      <c r="Q190" s="1" t="s">
        <v>4</v>
      </c>
      <c r="R190" s="1" t="s">
        <v>4</v>
      </c>
      <c r="S190" s="1" t="s">
        <v>10</v>
      </c>
      <c r="T190" s="1"/>
      <c r="U190" s="1"/>
      <c r="V190" s="1"/>
      <c r="W190" s="1" t="s">
        <v>27</v>
      </c>
      <c r="X190" s="16">
        <v>29600</v>
      </c>
      <c r="Y190" s="16">
        <v>29600</v>
      </c>
      <c r="Z190" s="1" t="s">
        <v>1316</v>
      </c>
      <c r="AA190" s="1" t="s">
        <v>1317</v>
      </c>
      <c r="AB190" s="1" t="s">
        <v>1318</v>
      </c>
      <c r="AC190" s="1" t="s">
        <v>1319</v>
      </c>
      <c r="AD190" s="1" t="s">
        <v>17</v>
      </c>
      <c r="AE190" s="1" t="s">
        <v>1320</v>
      </c>
      <c r="AF190" s="1" t="s">
        <v>19</v>
      </c>
      <c r="AG190" s="1" t="s">
        <v>19</v>
      </c>
      <c r="AH190" s="16">
        <v>91211.51677</v>
      </c>
    </row>
    <row r="191" spans="2:34" ht="15">
      <c r="B191" s="4" t="s">
        <v>0</v>
      </c>
      <c r="C191" s="5">
        <v>43616</v>
      </c>
      <c r="D191" s="4" t="s">
        <v>1</v>
      </c>
      <c r="E191" s="4" t="s">
        <v>1321</v>
      </c>
      <c r="F191" s="4" t="s">
        <v>3</v>
      </c>
      <c r="G191" s="4" t="s">
        <v>4</v>
      </c>
      <c r="H191" s="4" t="s">
        <v>119</v>
      </c>
      <c r="I191" s="5">
        <v>43616</v>
      </c>
      <c r="J191" s="6">
        <v>0.38394675925925925</v>
      </c>
      <c r="K191" s="5">
        <v>43620</v>
      </c>
      <c r="L191" s="4" t="s">
        <v>6</v>
      </c>
      <c r="M191" s="4"/>
      <c r="N191" s="4" t="s">
        <v>214</v>
      </c>
      <c r="O191" s="4" t="s">
        <v>215</v>
      </c>
      <c r="P191" s="4" t="s">
        <v>216</v>
      </c>
      <c r="Q191" s="4" t="s">
        <v>4</v>
      </c>
      <c r="R191" s="4" t="s">
        <v>4</v>
      </c>
      <c r="S191" s="4" t="s">
        <v>10</v>
      </c>
      <c r="T191" s="4"/>
      <c r="U191" s="4"/>
      <c r="V191" s="4"/>
      <c r="W191" s="4" t="s">
        <v>27</v>
      </c>
      <c r="X191" s="17">
        <v>49000</v>
      </c>
      <c r="Y191" s="17">
        <v>49000</v>
      </c>
      <c r="Z191" s="4" t="s">
        <v>1323</v>
      </c>
      <c r="AA191" s="4" t="s">
        <v>1324</v>
      </c>
      <c r="AB191" s="4" t="s">
        <v>1325</v>
      </c>
      <c r="AC191" s="4" t="s">
        <v>1326</v>
      </c>
      <c r="AD191" s="4" t="s">
        <v>17</v>
      </c>
      <c r="AE191" s="4" t="s">
        <v>1327</v>
      </c>
      <c r="AF191" s="4" t="s">
        <v>19</v>
      </c>
      <c r="AG191" s="4" t="s">
        <v>19</v>
      </c>
      <c r="AH191" s="17">
        <v>96714.24</v>
      </c>
    </row>
    <row r="192" spans="2:34" ht="15">
      <c r="B192" s="1" t="s">
        <v>0</v>
      </c>
      <c r="C192" s="2">
        <v>43616</v>
      </c>
      <c r="D192" s="1" t="s">
        <v>1</v>
      </c>
      <c r="E192" s="1" t="s">
        <v>1328</v>
      </c>
      <c r="F192" s="1" t="s">
        <v>3</v>
      </c>
      <c r="G192" s="1" t="s">
        <v>4</v>
      </c>
      <c r="H192" s="1" t="s">
        <v>119</v>
      </c>
      <c r="I192" s="2">
        <v>43616</v>
      </c>
      <c r="J192" s="3">
        <v>0.35439814814814813</v>
      </c>
      <c r="K192" s="2">
        <v>43620</v>
      </c>
      <c r="L192" s="1" t="s">
        <v>6</v>
      </c>
      <c r="M192" s="1"/>
      <c r="N192" s="1" t="s">
        <v>663</v>
      </c>
      <c r="O192" s="1" t="s">
        <v>664</v>
      </c>
      <c r="P192" s="1" t="s">
        <v>665</v>
      </c>
      <c r="Q192" s="1" t="s">
        <v>4</v>
      </c>
      <c r="R192" s="1" t="s">
        <v>4</v>
      </c>
      <c r="S192" s="1" t="s">
        <v>10</v>
      </c>
      <c r="T192" s="1"/>
      <c r="U192" s="1"/>
      <c r="V192" s="1"/>
      <c r="W192" s="1" t="s">
        <v>27</v>
      </c>
      <c r="X192" s="16">
        <v>44000</v>
      </c>
      <c r="Y192" s="16">
        <v>44000</v>
      </c>
      <c r="Z192" s="1" t="s">
        <v>1330</v>
      </c>
      <c r="AA192" s="1" t="s">
        <v>1331</v>
      </c>
      <c r="AB192" s="1" t="s">
        <v>1332</v>
      </c>
      <c r="AC192" s="1" t="s">
        <v>1333</v>
      </c>
      <c r="AD192" s="1" t="s">
        <v>17</v>
      </c>
      <c r="AE192" s="1" t="s">
        <v>1334</v>
      </c>
      <c r="AF192" s="1" t="s">
        <v>19</v>
      </c>
      <c r="AG192" s="1" t="s">
        <v>19</v>
      </c>
      <c r="AH192" s="16">
        <v>115646.03</v>
      </c>
    </row>
    <row r="193" spans="2:34" ht="15">
      <c r="B193" s="4" t="s">
        <v>0</v>
      </c>
      <c r="C193" s="5">
        <v>43616</v>
      </c>
      <c r="D193" s="4" t="s">
        <v>1</v>
      </c>
      <c r="E193" s="4" t="s">
        <v>1335</v>
      </c>
      <c r="F193" s="4" t="s">
        <v>3</v>
      </c>
      <c r="G193" s="4" t="s">
        <v>4</v>
      </c>
      <c r="H193" s="4" t="s">
        <v>90</v>
      </c>
      <c r="I193" s="5">
        <v>43616</v>
      </c>
      <c r="J193" s="6">
        <v>0.3780208333333333</v>
      </c>
      <c r="K193" s="5">
        <v>43620</v>
      </c>
      <c r="L193" s="4" t="s">
        <v>6</v>
      </c>
      <c r="M193" s="4"/>
      <c r="N193" s="4" t="s">
        <v>307</v>
      </c>
      <c r="O193" s="4" t="s">
        <v>308</v>
      </c>
      <c r="P193" s="4" t="s">
        <v>309</v>
      </c>
      <c r="Q193" s="4" t="s">
        <v>4</v>
      </c>
      <c r="R193" s="4" t="s">
        <v>4</v>
      </c>
      <c r="S193" s="4" t="s">
        <v>10</v>
      </c>
      <c r="T193" s="4"/>
      <c r="U193" s="4"/>
      <c r="V193" s="4"/>
      <c r="W193" s="4" t="s">
        <v>27</v>
      </c>
      <c r="X193" s="17">
        <v>67000</v>
      </c>
      <c r="Y193" s="17">
        <v>67000</v>
      </c>
      <c r="Z193" s="4" t="s">
        <v>981</v>
      </c>
      <c r="AA193" s="4" t="s">
        <v>1337</v>
      </c>
      <c r="AB193" s="4" t="s">
        <v>1338</v>
      </c>
      <c r="AC193" s="4" t="s">
        <v>1339</v>
      </c>
      <c r="AD193" s="4" t="s">
        <v>17</v>
      </c>
      <c r="AE193" s="4" t="s">
        <v>18</v>
      </c>
      <c r="AF193" s="4" t="s">
        <v>19</v>
      </c>
      <c r="AG193" s="4" t="s">
        <v>19</v>
      </c>
      <c r="AH193" s="17">
        <v>145010.44</v>
      </c>
    </row>
    <row r="194" spans="2:34" ht="15">
      <c r="B194" s="1" t="s">
        <v>0</v>
      </c>
      <c r="C194" s="2">
        <v>43616</v>
      </c>
      <c r="D194" s="1" t="s">
        <v>1</v>
      </c>
      <c r="E194" s="1" t="s">
        <v>1340</v>
      </c>
      <c r="F194" s="1" t="s">
        <v>3</v>
      </c>
      <c r="G194" s="1" t="s">
        <v>4</v>
      </c>
      <c r="H194" s="1" t="s">
        <v>119</v>
      </c>
      <c r="I194" s="2">
        <v>43616</v>
      </c>
      <c r="J194" s="3">
        <v>0.37081018518518516</v>
      </c>
      <c r="K194" s="2">
        <v>43620</v>
      </c>
      <c r="L194" s="1" t="s">
        <v>6</v>
      </c>
      <c r="M194" s="1"/>
      <c r="N194" s="1" t="s">
        <v>136</v>
      </c>
      <c r="O194" s="1" t="s">
        <v>137</v>
      </c>
      <c r="P194" s="1" t="s">
        <v>138</v>
      </c>
      <c r="Q194" s="1" t="s">
        <v>4</v>
      </c>
      <c r="R194" s="1" t="s">
        <v>4</v>
      </c>
      <c r="S194" s="1" t="s">
        <v>10</v>
      </c>
      <c r="T194" s="1"/>
      <c r="U194" s="1"/>
      <c r="V194" s="1"/>
      <c r="W194" s="1" t="s">
        <v>27</v>
      </c>
      <c r="X194" s="16">
        <v>61000</v>
      </c>
      <c r="Y194" s="16">
        <v>61000</v>
      </c>
      <c r="Z194" s="1" t="s">
        <v>1342</v>
      </c>
      <c r="AA194" s="1" t="s">
        <v>1343</v>
      </c>
      <c r="AB194" s="1" t="s">
        <v>1344</v>
      </c>
      <c r="AC194" s="1" t="s">
        <v>1345</v>
      </c>
      <c r="AD194" s="1" t="s">
        <v>17</v>
      </c>
      <c r="AE194" s="1" t="s">
        <v>17</v>
      </c>
      <c r="AF194" s="1" t="s">
        <v>19</v>
      </c>
      <c r="AG194" s="1" t="s">
        <v>19</v>
      </c>
      <c r="AH194" s="16">
        <v>215056.842</v>
      </c>
    </row>
    <row r="195" spans="2:34" ht="15">
      <c r="B195" s="4" t="s">
        <v>0</v>
      </c>
      <c r="C195" s="5">
        <v>43616</v>
      </c>
      <c r="D195" s="4" t="s">
        <v>1</v>
      </c>
      <c r="E195" s="4" t="s">
        <v>1346</v>
      </c>
      <c r="F195" s="4" t="s">
        <v>3</v>
      </c>
      <c r="G195" s="4" t="s">
        <v>4</v>
      </c>
      <c r="H195" s="4" t="s">
        <v>119</v>
      </c>
      <c r="I195" s="5">
        <v>43616</v>
      </c>
      <c r="J195" s="6">
        <v>0.4260185185185185</v>
      </c>
      <c r="K195" s="5">
        <v>43620</v>
      </c>
      <c r="L195" s="4" t="s">
        <v>6</v>
      </c>
      <c r="M195" s="4"/>
      <c r="N195" s="4" t="s">
        <v>204</v>
      </c>
      <c r="O195" s="4" t="s">
        <v>205</v>
      </c>
      <c r="P195" s="4" t="s">
        <v>206</v>
      </c>
      <c r="Q195" s="4" t="s">
        <v>4</v>
      </c>
      <c r="R195" s="4" t="s">
        <v>4</v>
      </c>
      <c r="S195" s="4" t="s">
        <v>10</v>
      </c>
      <c r="T195" s="4"/>
      <c r="U195" s="4"/>
      <c r="V195" s="4"/>
      <c r="W195" s="4" t="s">
        <v>27</v>
      </c>
      <c r="X195" s="17">
        <v>24500</v>
      </c>
      <c r="Y195" s="17">
        <v>24500</v>
      </c>
      <c r="Z195" s="4" t="s">
        <v>121</v>
      </c>
      <c r="AA195" s="4" t="s">
        <v>1348</v>
      </c>
      <c r="AB195" s="4" t="s">
        <v>1349</v>
      </c>
      <c r="AC195" s="4" t="s">
        <v>1350</v>
      </c>
      <c r="AD195" s="4" t="s">
        <v>17</v>
      </c>
      <c r="AE195" s="4" t="s">
        <v>1351</v>
      </c>
      <c r="AF195" s="4" t="s">
        <v>19</v>
      </c>
      <c r="AG195" s="4" t="s">
        <v>19</v>
      </c>
      <c r="AH195" s="17">
        <v>69081.89</v>
      </c>
    </row>
    <row r="196" spans="2:34" ht="15">
      <c r="B196" s="1" t="s">
        <v>0</v>
      </c>
      <c r="C196" s="2">
        <v>43616</v>
      </c>
      <c r="D196" s="1" t="s">
        <v>1</v>
      </c>
      <c r="E196" s="1" t="s">
        <v>1352</v>
      </c>
      <c r="F196" s="1" t="s">
        <v>3</v>
      </c>
      <c r="G196" s="1" t="s">
        <v>4</v>
      </c>
      <c r="H196" s="1" t="s">
        <v>23</v>
      </c>
      <c r="I196" s="2">
        <v>43616</v>
      </c>
      <c r="J196" s="3">
        <v>0.3940162037037037</v>
      </c>
      <c r="K196" s="2">
        <v>43620</v>
      </c>
      <c r="L196" s="1" t="s">
        <v>6</v>
      </c>
      <c r="M196" s="1"/>
      <c r="N196" s="1" t="s">
        <v>174</v>
      </c>
      <c r="O196" s="1" t="s">
        <v>175</v>
      </c>
      <c r="P196" s="1" t="s">
        <v>176</v>
      </c>
      <c r="Q196" s="1" t="s">
        <v>4</v>
      </c>
      <c r="R196" s="1" t="s">
        <v>4</v>
      </c>
      <c r="S196" s="1" t="s">
        <v>10</v>
      </c>
      <c r="T196" s="1"/>
      <c r="U196" s="1"/>
      <c r="V196" s="1"/>
      <c r="W196" s="1" t="s">
        <v>27</v>
      </c>
      <c r="X196" s="16">
        <v>243000</v>
      </c>
      <c r="Y196" s="16">
        <v>243000</v>
      </c>
      <c r="Z196" s="1" t="s">
        <v>1354</v>
      </c>
      <c r="AA196" s="1" t="s">
        <v>1355</v>
      </c>
      <c r="AB196" s="1" t="s">
        <v>1356</v>
      </c>
      <c r="AC196" s="1" t="s">
        <v>1357</v>
      </c>
      <c r="AD196" s="1" t="s">
        <v>17</v>
      </c>
      <c r="AE196" s="1" t="s">
        <v>18</v>
      </c>
      <c r="AF196" s="1" t="s">
        <v>19</v>
      </c>
      <c r="AG196" s="1" t="s">
        <v>19</v>
      </c>
      <c r="AH196" s="16">
        <v>189920.08</v>
      </c>
    </row>
    <row r="197" spans="2:34" ht="15">
      <c r="B197" s="4" t="s">
        <v>0</v>
      </c>
      <c r="C197" s="5">
        <v>43616</v>
      </c>
      <c r="D197" s="4" t="s">
        <v>1</v>
      </c>
      <c r="E197" s="4" t="s">
        <v>1358</v>
      </c>
      <c r="F197" s="4" t="s">
        <v>3</v>
      </c>
      <c r="G197" s="4" t="s">
        <v>4</v>
      </c>
      <c r="H197" s="4" t="s">
        <v>325</v>
      </c>
      <c r="I197" s="5">
        <v>43616</v>
      </c>
      <c r="J197" s="6">
        <v>0.4527777777777778</v>
      </c>
      <c r="K197" s="5">
        <v>43620</v>
      </c>
      <c r="L197" s="4" t="s">
        <v>6</v>
      </c>
      <c r="M197" s="4"/>
      <c r="N197" s="4" t="s">
        <v>250</v>
      </c>
      <c r="O197" s="4" t="s">
        <v>251</v>
      </c>
      <c r="P197" s="4" t="s">
        <v>252</v>
      </c>
      <c r="Q197" s="4" t="s">
        <v>4</v>
      </c>
      <c r="R197" s="4" t="s">
        <v>4</v>
      </c>
      <c r="S197" s="4" t="s">
        <v>10</v>
      </c>
      <c r="T197" s="4"/>
      <c r="U197" s="4"/>
      <c r="V197" s="4"/>
      <c r="W197" s="4" t="s">
        <v>27</v>
      </c>
      <c r="X197" s="17">
        <v>39000</v>
      </c>
      <c r="Y197" s="17">
        <v>39000</v>
      </c>
      <c r="Z197" s="4" t="s">
        <v>1360</v>
      </c>
      <c r="AA197" s="4" t="s">
        <v>1361</v>
      </c>
      <c r="AB197" s="4" t="s">
        <v>1362</v>
      </c>
      <c r="AC197" s="4" t="s">
        <v>1363</v>
      </c>
      <c r="AD197" s="4" t="s">
        <v>17</v>
      </c>
      <c r="AE197" s="4" t="s">
        <v>1364</v>
      </c>
      <c r="AF197" s="4" t="s">
        <v>19</v>
      </c>
      <c r="AG197" s="4" t="s">
        <v>19</v>
      </c>
      <c r="AH197" s="17">
        <v>124890.38</v>
      </c>
    </row>
    <row r="198" spans="2:34" ht="15">
      <c r="B198" s="1" t="s">
        <v>0</v>
      </c>
      <c r="C198" s="2">
        <v>43616</v>
      </c>
      <c r="D198" s="1" t="s">
        <v>1</v>
      </c>
      <c r="E198" s="1" t="s">
        <v>1365</v>
      </c>
      <c r="F198" s="1" t="s">
        <v>3</v>
      </c>
      <c r="G198" s="1" t="s">
        <v>4</v>
      </c>
      <c r="H198" s="1" t="s">
        <v>1366</v>
      </c>
      <c r="I198" s="2">
        <v>43616</v>
      </c>
      <c r="J198" s="3">
        <v>0.39836805555555554</v>
      </c>
      <c r="K198" s="2">
        <v>43620</v>
      </c>
      <c r="L198" s="1" t="s">
        <v>6</v>
      </c>
      <c r="M198" s="1"/>
      <c r="N198" s="1" t="s">
        <v>401</v>
      </c>
      <c r="O198" s="1" t="s">
        <v>402</v>
      </c>
      <c r="P198" s="1" t="s">
        <v>403</v>
      </c>
      <c r="Q198" s="1" t="s">
        <v>4</v>
      </c>
      <c r="R198" s="1" t="s">
        <v>4</v>
      </c>
      <c r="S198" s="1" t="s">
        <v>10</v>
      </c>
      <c r="T198" s="1"/>
      <c r="U198" s="1"/>
      <c r="V198" s="1"/>
      <c r="W198" s="1" t="s">
        <v>27</v>
      </c>
      <c r="X198" s="16">
        <v>1963000</v>
      </c>
      <c r="Y198" s="16">
        <v>1963000</v>
      </c>
      <c r="Z198" s="1" t="s">
        <v>1368</v>
      </c>
      <c r="AA198" s="1" t="s">
        <v>1369</v>
      </c>
      <c r="AB198" s="1" t="s">
        <v>1370</v>
      </c>
      <c r="AC198" s="1" t="s">
        <v>1371</v>
      </c>
      <c r="AD198" s="1" t="s">
        <v>17</v>
      </c>
      <c r="AE198" s="1" t="s">
        <v>18</v>
      </c>
      <c r="AF198" s="1" t="s">
        <v>19</v>
      </c>
      <c r="AG198" s="1" t="s">
        <v>19</v>
      </c>
      <c r="AH198" s="16">
        <v>285205.27</v>
      </c>
    </row>
    <row r="199" spans="2:34" ht="15">
      <c r="B199" s="4" t="s">
        <v>0</v>
      </c>
      <c r="C199" s="5">
        <v>43616</v>
      </c>
      <c r="D199" s="4" t="s">
        <v>1</v>
      </c>
      <c r="E199" s="4" t="s">
        <v>1372</v>
      </c>
      <c r="F199" s="4" t="s">
        <v>3</v>
      </c>
      <c r="G199" s="4" t="s">
        <v>4</v>
      </c>
      <c r="H199" s="4" t="s">
        <v>325</v>
      </c>
      <c r="I199" s="5">
        <v>43616</v>
      </c>
      <c r="J199" s="6">
        <v>0.45069444444444445</v>
      </c>
      <c r="K199" s="5">
        <v>43620</v>
      </c>
      <c r="L199" s="4" t="s">
        <v>6</v>
      </c>
      <c r="M199" s="4"/>
      <c r="N199" s="4" t="s">
        <v>316</v>
      </c>
      <c r="O199" s="4" t="s">
        <v>317</v>
      </c>
      <c r="P199" s="4" t="s">
        <v>318</v>
      </c>
      <c r="Q199" s="4" t="s">
        <v>4</v>
      </c>
      <c r="R199" s="4" t="s">
        <v>4</v>
      </c>
      <c r="S199" s="4" t="s">
        <v>10</v>
      </c>
      <c r="T199" s="4"/>
      <c r="U199" s="4"/>
      <c r="V199" s="4"/>
      <c r="W199" s="4" t="s">
        <v>27</v>
      </c>
      <c r="X199" s="17">
        <v>33153</v>
      </c>
      <c r="Y199" s="17">
        <v>33153</v>
      </c>
      <c r="Z199" s="4" t="s">
        <v>1374</v>
      </c>
      <c r="AA199" s="4" t="s">
        <v>1375</v>
      </c>
      <c r="AB199" s="4" t="s">
        <v>1376</v>
      </c>
      <c r="AC199" s="4" t="s">
        <v>1377</v>
      </c>
      <c r="AD199" s="4" t="s">
        <v>17</v>
      </c>
      <c r="AE199" s="4" t="s">
        <v>1378</v>
      </c>
      <c r="AF199" s="4" t="s">
        <v>19</v>
      </c>
      <c r="AG199" s="4" t="s">
        <v>19</v>
      </c>
      <c r="AH199" s="17">
        <v>51748.3743</v>
      </c>
    </row>
    <row r="200" spans="2:34" ht="15">
      <c r="B200" s="1" t="s">
        <v>0</v>
      </c>
      <c r="C200" s="2">
        <v>43616</v>
      </c>
      <c r="D200" s="1" t="s">
        <v>1</v>
      </c>
      <c r="E200" s="1" t="s">
        <v>1379</v>
      </c>
      <c r="F200" s="1" t="s">
        <v>3</v>
      </c>
      <c r="G200" s="1" t="s">
        <v>4</v>
      </c>
      <c r="H200" s="1" t="s">
        <v>119</v>
      </c>
      <c r="I200" s="2">
        <v>43616</v>
      </c>
      <c r="J200" s="3">
        <v>0.4509837962962963</v>
      </c>
      <c r="K200" s="2">
        <v>43620</v>
      </c>
      <c r="L200" s="1" t="s">
        <v>6</v>
      </c>
      <c r="M200" s="1"/>
      <c r="N200" s="1" t="s">
        <v>223</v>
      </c>
      <c r="O200" s="1" t="s">
        <v>224</v>
      </c>
      <c r="P200" s="1" t="s">
        <v>225</v>
      </c>
      <c r="Q200" s="1" t="s">
        <v>4</v>
      </c>
      <c r="R200" s="1" t="s">
        <v>4</v>
      </c>
      <c r="S200" s="1" t="s">
        <v>10</v>
      </c>
      <c r="T200" s="1"/>
      <c r="U200" s="1"/>
      <c r="V200" s="1"/>
      <c r="W200" s="1" t="s">
        <v>27</v>
      </c>
      <c r="X200" s="16">
        <v>64000</v>
      </c>
      <c r="Y200" s="16">
        <v>64000</v>
      </c>
      <c r="Z200" s="1" t="s">
        <v>1381</v>
      </c>
      <c r="AA200" s="1" t="s">
        <v>1382</v>
      </c>
      <c r="AB200" s="1" t="s">
        <v>1383</v>
      </c>
      <c r="AC200" s="1" t="s">
        <v>1384</v>
      </c>
      <c r="AD200" s="1" t="s">
        <v>17</v>
      </c>
      <c r="AE200" s="1" t="s">
        <v>1385</v>
      </c>
      <c r="AF200" s="1" t="s">
        <v>19</v>
      </c>
      <c r="AG200" s="1" t="s">
        <v>19</v>
      </c>
      <c r="AH200" s="16">
        <v>146621.66</v>
      </c>
    </row>
    <row r="201" spans="2:34" ht="15">
      <c r="B201" s="7" t="s">
        <v>0</v>
      </c>
      <c r="C201" s="8">
        <v>43616</v>
      </c>
      <c r="D201" s="7" t="s">
        <v>1</v>
      </c>
      <c r="E201" s="7" t="s">
        <v>1386</v>
      </c>
      <c r="F201" s="7" t="s">
        <v>3</v>
      </c>
      <c r="G201" s="7" t="s">
        <v>4</v>
      </c>
      <c r="H201" s="7" t="s">
        <v>786</v>
      </c>
      <c r="I201" s="8">
        <v>43616</v>
      </c>
      <c r="J201" s="9">
        <v>0.36666666666666664</v>
      </c>
      <c r="K201" s="8">
        <v>43620</v>
      </c>
      <c r="L201" s="7" t="s">
        <v>6</v>
      </c>
      <c r="M201" s="7"/>
      <c r="N201" s="7" t="s">
        <v>382</v>
      </c>
      <c r="O201" s="7" t="s">
        <v>383</v>
      </c>
      <c r="P201" s="7" t="s">
        <v>1387</v>
      </c>
      <c r="Q201" s="7" t="s">
        <v>4</v>
      </c>
      <c r="R201" s="7" t="s">
        <v>4</v>
      </c>
      <c r="S201" s="7" t="s">
        <v>10</v>
      </c>
      <c r="T201" s="7"/>
      <c r="U201" s="7"/>
      <c r="V201" s="7"/>
      <c r="W201" s="7" t="s">
        <v>27</v>
      </c>
      <c r="X201" s="18">
        <v>10500</v>
      </c>
      <c r="Y201" s="18">
        <v>10500</v>
      </c>
      <c r="Z201" s="7" t="s">
        <v>1388</v>
      </c>
      <c r="AA201" s="7" t="s">
        <v>1389</v>
      </c>
      <c r="AB201" s="7" t="s">
        <v>1390</v>
      </c>
      <c r="AC201" s="7" t="s">
        <v>1391</v>
      </c>
      <c r="AD201" s="7" t="s">
        <v>17</v>
      </c>
      <c r="AE201" s="7" t="s">
        <v>1392</v>
      </c>
      <c r="AF201" s="7" t="s">
        <v>19</v>
      </c>
      <c r="AG201" s="7" t="s">
        <v>19</v>
      </c>
      <c r="AH201" s="18">
        <v>118954.06</v>
      </c>
    </row>
    <row r="202" spans="2:34" ht="15">
      <c r="B202" s="1" t="s">
        <v>0</v>
      </c>
      <c r="C202" s="2">
        <v>43616</v>
      </c>
      <c r="D202" s="1" t="s">
        <v>1</v>
      </c>
      <c r="E202" s="1" t="s">
        <v>1335</v>
      </c>
      <c r="F202" s="1" t="s">
        <v>3</v>
      </c>
      <c r="G202" s="1" t="s">
        <v>4</v>
      </c>
      <c r="H202" s="1" t="s">
        <v>90</v>
      </c>
      <c r="I202" s="2">
        <v>43616</v>
      </c>
      <c r="J202" s="3">
        <v>0.3780208333333333</v>
      </c>
      <c r="K202" s="2">
        <v>43620</v>
      </c>
      <c r="L202" s="1" t="s">
        <v>6</v>
      </c>
      <c r="M202" s="1"/>
      <c r="N202" s="1" t="s">
        <v>307</v>
      </c>
      <c r="O202" s="1" t="s">
        <v>308</v>
      </c>
      <c r="P202" s="1" t="s">
        <v>309</v>
      </c>
      <c r="Q202" s="1" t="s">
        <v>4</v>
      </c>
      <c r="R202" s="1" t="s">
        <v>4</v>
      </c>
      <c r="S202" s="1" t="s">
        <v>10</v>
      </c>
      <c r="T202" s="1"/>
      <c r="U202" s="1"/>
      <c r="V202" s="1"/>
      <c r="W202" s="1" t="s">
        <v>27</v>
      </c>
      <c r="X202" s="16">
        <v>67000</v>
      </c>
      <c r="Y202" s="16">
        <v>67000</v>
      </c>
      <c r="Z202" s="1" t="s">
        <v>981</v>
      </c>
      <c r="AA202" s="1" t="s">
        <v>1337</v>
      </c>
      <c r="AB202" s="1" t="s">
        <v>1338</v>
      </c>
      <c r="AC202" s="1" t="s">
        <v>1339</v>
      </c>
      <c r="AD202" s="1" t="s">
        <v>17</v>
      </c>
      <c r="AE202" s="1" t="s">
        <v>18</v>
      </c>
      <c r="AF202" s="1" t="s">
        <v>19</v>
      </c>
      <c r="AG202" s="1" t="s">
        <v>19</v>
      </c>
      <c r="AH202" s="16">
        <v>145010.44</v>
      </c>
    </row>
    <row r="203" spans="2:34" ht="15">
      <c r="B203" s="4" t="s">
        <v>0</v>
      </c>
      <c r="C203" s="5">
        <v>43616</v>
      </c>
      <c r="D203" s="4" t="s">
        <v>1</v>
      </c>
      <c r="E203" s="4" t="s">
        <v>1352</v>
      </c>
      <c r="F203" s="4" t="s">
        <v>3</v>
      </c>
      <c r="G203" s="4" t="s">
        <v>4</v>
      </c>
      <c r="H203" s="4" t="s">
        <v>23</v>
      </c>
      <c r="I203" s="5">
        <v>43616</v>
      </c>
      <c r="J203" s="6">
        <v>0.3940162037037037</v>
      </c>
      <c r="K203" s="5">
        <v>43620</v>
      </c>
      <c r="L203" s="4" t="s">
        <v>6</v>
      </c>
      <c r="M203" s="4"/>
      <c r="N203" s="4" t="s">
        <v>174</v>
      </c>
      <c r="O203" s="4" t="s">
        <v>175</v>
      </c>
      <c r="P203" s="4" t="s">
        <v>176</v>
      </c>
      <c r="Q203" s="4" t="s">
        <v>4</v>
      </c>
      <c r="R203" s="4" t="s">
        <v>4</v>
      </c>
      <c r="S203" s="4" t="s">
        <v>10</v>
      </c>
      <c r="T203" s="4"/>
      <c r="U203" s="4"/>
      <c r="V203" s="4"/>
      <c r="W203" s="4" t="s">
        <v>27</v>
      </c>
      <c r="X203" s="17">
        <v>243000</v>
      </c>
      <c r="Y203" s="17">
        <v>243000</v>
      </c>
      <c r="Z203" s="4" t="s">
        <v>1354</v>
      </c>
      <c r="AA203" s="4" t="s">
        <v>1355</v>
      </c>
      <c r="AB203" s="4" t="s">
        <v>1356</v>
      </c>
      <c r="AC203" s="4" t="s">
        <v>1357</v>
      </c>
      <c r="AD203" s="4" t="s">
        <v>17</v>
      </c>
      <c r="AE203" s="4" t="s">
        <v>18</v>
      </c>
      <c r="AF203" s="4" t="s">
        <v>19</v>
      </c>
      <c r="AG203" s="4" t="s">
        <v>19</v>
      </c>
      <c r="AH203" s="17">
        <v>189920.08</v>
      </c>
    </row>
    <row r="204" spans="2:34" ht="15">
      <c r="B204" s="1" t="s">
        <v>0</v>
      </c>
      <c r="C204" s="2">
        <v>43616</v>
      </c>
      <c r="D204" s="1" t="s">
        <v>1</v>
      </c>
      <c r="E204" s="1" t="s">
        <v>1365</v>
      </c>
      <c r="F204" s="1" t="s">
        <v>3</v>
      </c>
      <c r="G204" s="1" t="s">
        <v>4</v>
      </c>
      <c r="H204" s="1" t="s">
        <v>1366</v>
      </c>
      <c r="I204" s="2">
        <v>43616</v>
      </c>
      <c r="J204" s="3">
        <v>0.39836805555555554</v>
      </c>
      <c r="K204" s="2">
        <v>43620</v>
      </c>
      <c r="L204" s="1" t="s">
        <v>6</v>
      </c>
      <c r="M204" s="1"/>
      <c r="N204" s="1" t="s">
        <v>401</v>
      </c>
      <c r="O204" s="1" t="s">
        <v>402</v>
      </c>
      <c r="P204" s="1" t="s">
        <v>403</v>
      </c>
      <c r="Q204" s="1" t="s">
        <v>4</v>
      </c>
      <c r="R204" s="1" t="s">
        <v>4</v>
      </c>
      <c r="S204" s="1" t="s">
        <v>10</v>
      </c>
      <c r="T204" s="1"/>
      <c r="U204" s="1"/>
      <c r="V204" s="1"/>
      <c r="W204" s="1" t="s">
        <v>27</v>
      </c>
      <c r="X204" s="16">
        <v>1963000</v>
      </c>
      <c r="Y204" s="16">
        <v>1963000</v>
      </c>
      <c r="Z204" s="1" t="s">
        <v>1368</v>
      </c>
      <c r="AA204" s="1" t="s">
        <v>1369</v>
      </c>
      <c r="AB204" s="1" t="s">
        <v>1370</v>
      </c>
      <c r="AC204" s="1" t="s">
        <v>1371</v>
      </c>
      <c r="AD204" s="1" t="s">
        <v>17</v>
      </c>
      <c r="AE204" s="1" t="s">
        <v>18</v>
      </c>
      <c r="AF204" s="1" t="s">
        <v>19</v>
      </c>
      <c r="AG204" s="1" t="s">
        <v>19</v>
      </c>
      <c r="AH204" s="16">
        <v>285205.27</v>
      </c>
    </row>
    <row r="205" spans="2:34" ht="15">
      <c r="B205" s="4" t="s">
        <v>0</v>
      </c>
      <c r="C205" s="5">
        <v>43619</v>
      </c>
      <c r="D205" s="4" t="s">
        <v>1</v>
      </c>
      <c r="E205" s="4" t="s">
        <v>1393</v>
      </c>
      <c r="F205" s="4" t="s">
        <v>3</v>
      </c>
      <c r="G205" s="4" t="s">
        <v>4</v>
      </c>
      <c r="H205" s="4" t="s">
        <v>119</v>
      </c>
      <c r="I205" s="5">
        <v>43616</v>
      </c>
      <c r="J205" s="6">
        <v>0.69125</v>
      </c>
      <c r="K205" s="5">
        <v>43620</v>
      </c>
      <c r="L205" s="4" t="s">
        <v>6</v>
      </c>
      <c r="M205" s="4"/>
      <c r="N205" s="4" t="s">
        <v>1394</v>
      </c>
      <c r="O205" s="4" t="s">
        <v>1395</v>
      </c>
      <c r="P205" s="4" t="s">
        <v>1396</v>
      </c>
      <c r="Q205" s="4" t="s">
        <v>4</v>
      </c>
      <c r="R205" s="4" t="s">
        <v>4</v>
      </c>
      <c r="S205" s="4" t="s">
        <v>10</v>
      </c>
      <c r="T205" s="4"/>
      <c r="U205" s="4"/>
      <c r="V205" s="4"/>
      <c r="W205" s="4" t="s">
        <v>27</v>
      </c>
      <c r="X205" s="17">
        <v>12000</v>
      </c>
      <c r="Y205" s="17">
        <v>12000</v>
      </c>
      <c r="Z205" s="4" t="s">
        <v>1397</v>
      </c>
      <c r="AA205" s="4" t="s">
        <v>1398</v>
      </c>
      <c r="AB205" s="4" t="s">
        <v>1399</v>
      </c>
      <c r="AC205" s="4" t="s">
        <v>1400</v>
      </c>
      <c r="AD205" s="4" t="s">
        <v>17</v>
      </c>
      <c r="AE205" s="4" t="s">
        <v>18</v>
      </c>
      <c r="AF205" s="4" t="s">
        <v>19</v>
      </c>
      <c r="AG205" s="4" t="s">
        <v>19</v>
      </c>
      <c r="AH205" s="17">
        <v>32405.06678</v>
      </c>
    </row>
    <row r="206" spans="2:34" ht="15">
      <c r="B206" s="1" t="s">
        <v>0</v>
      </c>
      <c r="C206" s="2">
        <v>43621</v>
      </c>
      <c r="D206" s="1" t="s">
        <v>1</v>
      </c>
      <c r="E206" s="1" t="s">
        <v>1401</v>
      </c>
      <c r="F206" s="1" t="s">
        <v>3</v>
      </c>
      <c r="G206" s="1" t="s">
        <v>4</v>
      </c>
      <c r="H206" s="1" t="s">
        <v>119</v>
      </c>
      <c r="I206" s="2">
        <v>43620</v>
      </c>
      <c r="J206" s="3">
        <v>0.6095023148148148</v>
      </c>
      <c r="K206" s="2">
        <v>43622</v>
      </c>
      <c r="L206" s="1" t="s">
        <v>6</v>
      </c>
      <c r="M206" s="1"/>
      <c r="N206" s="1" t="s">
        <v>1394</v>
      </c>
      <c r="O206" s="1" t="s">
        <v>1395</v>
      </c>
      <c r="P206" s="1" t="s">
        <v>1396</v>
      </c>
      <c r="Q206" s="1" t="s">
        <v>4</v>
      </c>
      <c r="R206" s="1" t="s">
        <v>4</v>
      </c>
      <c r="S206" s="1" t="s">
        <v>10</v>
      </c>
      <c r="T206" s="1"/>
      <c r="U206" s="1"/>
      <c r="V206" s="1"/>
      <c r="W206" s="1" t="s">
        <v>27</v>
      </c>
      <c r="X206" s="16">
        <v>41000</v>
      </c>
      <c r="Y206" s="16">
        <v>41000</v>
      </c>
      <c r="Z206" s="1" t="s">
        <v>1402</v>
      </c>
      <c r="AA206" s="1" t="s">
        <v>1403</v>
      </c>
      <c r="AB206" s="1" t="s">
        <v>1404</v>
      </c>
      <c r="AC206" s="1" t="s">
        <v>1405</v>
      </c>
      <c r="AD206" s="1" t="s">
        <v>17</v>
      </c>
      <c r="AE206" s="1" t="s">
        <v>18</v>
      </c>
      <c r="AF206" s="1" t="s">
        <v>19</v>
      </c>
      <c r="AG206" s="1" t="s">
        <v>19</v>
      </c>
      <c r="AH206" s="16">
        <v>110100.76</v>
      </c>
    </row>
    <row r="207" spans="2:34" ht="15">
      <c r="B207" s="4" t="s">
        <v>20</v>
      </c>
      <c r="C207" s="5">
        <v>43623</v>
      </c>
      <c r="D207" s="4" t="s">
        <v>21</v>
      </c>
      <c r="E207" s="4" t="s">
        <v>1406</v>
      </c>
      <c r="F207" s="4" t="s">
        <v>3</v>
      </c>
      <c r="G207" s="4" t="s">
        <v>4</v>
      </c>
      <c r="H207" s="4" t="s">
        <v>1277</v>
      </c>
      <c r="I207" s="5">
        <v>43622</v>
      </c>
      <c r="J207" s="6">
        <v>0.6868055555555556</v>
      </c>
      <c r="K207" s="5">
        <v>43626</v>
      </c>
      <c r="L207" s="4" t="s">
        <v>6</v>
      </c>
      <c r="M207" s="4"/>
      <c r="N207" s="4" t="s">
        <v>1407</v>
      </c>
      <c r="O207" s="4" t="s">
        <v>1408</v>
      </c>
      <c r="P207" s="4" t="s">
        <v>1409</v>
      </c>
      <c r="Q207" s="4" t="s">
        <v>4</v>
      </c>
      <c r="R207" s="4" t="s">
        <v>4</v>
      </c>
      <c r="S207" s="4" t="s">
        <v>10</v>
      </c>
      <c r="T207" s="4"/>
      <c r="U207" s="4"/>
      <c r="V207" s="4"/>
      <c r="W207" s="4" t="s">
        <v>27</v>
      </c>
      <c r="X207" s="17">
        <v>228000</v>
      </c>
      <c r="Y207" s="17">
        <v>228000</v>
      </c>
      <c r="Z207" s="4" t="s">
        <v>1411</v>
      </c>
      <c r="AA207" s="4" t="s">
        <v>1412</v>
      </c>
      <c r="AB207" s="4" t="s">
        <v>1413</v>
      </c>
      <c r="AC207" s="4" t="s">
        <v>1414</v>
      </c>
      <c r="AD207" s="4" t="s">
        <v>17</v>
      </c>
      <c r="AE207" s="4" t="s">
        <v>18</v>
      </c>
      <c r="AF207" s="4" t="s">
        <v>19</v>
      </c>
      <c r="AG207" s="4" t="s">
        <v>19</v>
      </c>
      <c r="AH207" s="17">
        <v>475189.48</v>
      </c>
    </row>
    <row r="208" spans="2:34" ht="15">
      <c r="B208" s="1" t="s">
        <v>20</v>
      </c>
      <c r="C208" s="2">
        <v>43623</v>
      </c>
      <c r="D208" s="1" t="s">
        <v>21</v>
      </c>
      <c r="E208" s="1" t="s">
        <v>1415</v>
      </c>
      <c r="F208" s="1" t="s">
        <v>3</v>
      </c>
      <c r="G208" s="1" t="s">
        <v>4</v>
      </c>
      <c r="H208" s="1" t="s">
        <v>914</v>
      </c>
      <c r="I208" s="2">
        <v>43622</v>
      </c>
      <c r="J208" s="3">
        <v>0.7314699074074074</v>
      </c>
      <c r="K208" s="2">
        <v>43626</v>
      </c>
      <c r="L208" s="1" t="s">
        <v>6</v>
      </c>
      <c r="M208" s="1"/>
      <c r="N208" s="1" t="s">
        <v>975</v>
      </c>
      <c r="O208" s="1" t="s">
        <v>915</v>
      </c>
      <c r="P208" s="1" t="s">
        <v>916</v>
      </c>
      <c r="Q208" s="1" t="s">
        <v>4</v>
      </c>
      <c r="R208" s="1" t="s">
        <v>4</v>
      </c>
      <c r="S208" s="1" t="s">
        <v>10</v>
      </c>
      <c r="T208" s="1"/>
      <c r="U208" s="1"/>
      <c r="V208" s="1"/>
      <c r="W208" s="1" t="s">
        <v>11</v>
      </c>
      <c r="X208" s="16">
        <v>220000</v>
      </c>
      <c r="Y208" s="16">
        <v>220000</v>
      </c>
      <c r="Z208" s="1" t="s">
        <v>1416</v>
      </c>
      <c r="AA208" s="1" t="s">
        <v>1417</v>
      </c>
      <c r="AB208" s="1" t="s">
        <v>1418</v>
      </c>
      <c r="AC208" s="1" t="s">
        <v>1419</v>
      </c>
      <c r="AD208" s="1" t="s">
        <v>17</v>
      </c>
      <c r="AE208" s="1" t="s">
        <v>18</v>
      </c>
      <c r="AF208" s="1" t="s">
        <v>19</v>
      </c>
      <c r="AG208" s="1" t="s">
        <v>19</v>
      </c>
      <c r="AH208" s="16">
        <v>530236.4</v>
      </c>
    </row>
    <row r="209" spans="2:34" ht="15">
      <c r="B209" s="4" t="s">
        <v>0</v>
      </c>
      <c r="C209" s="5">
        <v>43623</v>
      </c>
      <c r="D209" s="4" t="s">
        <v>1</v>
      </c>
      <c r="E209" s="4" t="s">
        <v>1420</v>
      </c>
      <c r="F209" s="4" t="s">
        <v>3</v>
      </c>
      <c r="G209" s="4" t="s">
        <v>4</v>
      </c>
      <c r="H209" s="4" t="s">
        <v>1277</v>
      </c>
      <c r="I209" s="5">
        <v>43622</v>
      </c>
      <c r="J209" s="6">
        <v>0.6868055555555556</v>
      </c>
      <c r="K209" s="5">
        <v>43626</v>
      </c>
      <c r="L209" s="4" t="s">
        <v>6</v>
      </c>
      <c r="M209" s="4"/>
      <c r="N209" s="4" t="s">
        <v>1407</v>
      </c>
      <c r="O209" s="4" t="s">
        <v>1408</v>
      </c>
      <c r="P209" s="4" t="s">
        <v>1409</v>
      </c>
      <c r="Q209" s="4" t="s">
        <v>4</v>
      </c>
      <c r="R209" s="4" t="s">
        <v>4</v>
      </c>
      <c r="S209" s="4" t="s">
        <v>10</v>
      </c>
      <c r="T209" s="4"/>
      <c r="U209" s="4"/>
      <c r="V209" s="4"/>
      <c r="W209" s="4" t="s">
        <v>27</v>
      </c>
      <c r="X209" s="17">
        <v>52000</v>
      </c>
      <c r="Y209" s="17">
        <v>52000</v>
      </c>
      <c r="Z209" s="4" t="s">
        <v>1411</v>
      </c>
      <c r="AA209" s="4" t="s">
        <v>1422</v>
      </c>
      <c r="AB209" s="4" t="s">
        <v>1423</v>
      </c>
      <c r="AC209" s="4" t="s">
        <v>1424</v>
      </c>
      <c r="AD209" s="4" t="s">
        <v>17</v>
      </c>
      <c r="AE209" s="4" t="s">
        <v>18</v>
      </c>
      <c r="AF209" s="4" t="s">
        <v>19</v>
      </c>
      <c r="AG209" s="4" t="s">
        <v>19</v>
      </c>
      <c r="AH209" s="17">
        <v>108377.32</v>
      </c>
    </row>
    <row r="210" spans="2:34" ht="15">
      <c r="B210" s="1" t="s">
        <v>20</v>
      </c>
      <c r="C210" s="2">
        <v>43627</v>
      </c>
      <c r="D210" s="1" t="s">
        <v>21</v>
      </c>
      <c r="E210" s="1" t="s">
        <v>1425</v>
      </c>
      <c r="F210" s="1" t="s">
        <v>3</v>
      </c>
      <c r="G210" s="1" t="s">
        <v>4</v>
      </c>
      <c r="H210" s="1" t="s">
        <v>325</v>
      </c>
      <c r="I210" s="2">
        <v>43626</v>
      </c>
      <c r="J210" s="3">
        <v>0.5583333333333333</v>
      </c>
      <c r="K210" s="2">
        <v>43628</v>
      </c>
      <c r="L210" s="1" t="s">
        <v>6</v>
      </c>
      <c r="M210" s="1"/>
      <c r="N210" s="1" t="s">
        <v>1426</v>
      </c>
      <c r="O210" s="1" t="s">
        <v>1427</v>
      </c>
      <c r="P210" s="1" t="s">
        <v>1428</v>
      </c>
      <c r="Q210" s="1" t="s">
        <v>4</v>
      </c>
      <c r="R210" s="1" t="s">
        <v>4</v>
      </c>
      <c r="S210" s="1" t="s">
        <v>10</v>
      </c>
      <c r="T210" s="1"/>
      <c r="U210" s="1"/>
      <c r="V210" s="1"/>
      <c r="W210" s="1" t="s">
        <v>11</v>
      </c>
      <c r="X210" s="16">
        <v>600000</v>
      </c>
      <c r="Y210" s="16">
        <v>600000</v>
      </c>
      <c r="Z210" s="1" t="s">
        <v>512</v>
      </c>
      <c r="AA210" s="1" t="s">
        <v>1430</v>
      </c>
      <c r="AB210" s="1" t="s">
        <v>1431</v>
      </c>
      <c r="AC210" s="1" t="s">
        <v>1432</v>
      </c>
      <c r="AD210" s="1" t="s">
        <v>17</v>
      </c>
      <c r="AE210" s="1" t="s">
        <v>18</v>
      </c>
      <c r="AF210" s="1" t="s">
        <v>19</v>
      </c>
      <c r="AG210" s="1" t="s">
        <v>19</v>
      </c>
      <c r="AH210" s="16">
        <v>1317359</v>
      </c>
    </row>
    <row r="211" spans="2:34" ht="15">
      <c r="B211" s="4" t="s">
        <v>153</v>
      </c>
      <c r="C211" s="5">
        <v>43627</v>
      </c>
      <c r="D211" s="4" t="s">
        <v>154</v>
      </c>
      <c r="E211" s="4"/>
      <c r="F211" s="4" t="s">
        <v>3</v>
      </c>
      <c r="G211" s="4" t="s">
        <v>4</v>
      </c>
      <c r="H211" s="4" t="s">
        <v>119</v>
      </c>
      <c r="I211" s="5">
        <v>43626</v>
      </c>
      <c r="J211" s="6">
        <v>0.6152430555555556</v>
      </c>
      <c r="K211" s="5">
        <v>43630</v>
      </c>
      <c r="L211" s="4" t="s">
        <v>6</v>
      </c>
      <c r="M211" s="4"/>
      <c r="N211" s="4" t="s">
        <v>156</v>
      </c>
      <c r="O211" s="4" t="s">
        <v>157</v>
      </c>
      <c r="P211" s="4" t="s">
        <v>158</v>
      </c>
      <c r="Q211" s="4" t="s">
        <v>4</v>
      </c>
      <c r="R211" s="4" t="s">
        <v>4</v>
      </c>
      <c r="S211" s="4" t="s">
        <v>10</v>
      </c>
      <c r="T211" s="4"/>
      <c r="U211" s="4"/>
      <c r="V211" s="4"/>
      <c r="W211" s="4" t="s">
        <v>27</v>
      </c>
      <c r="X211" s="17">
        <v>6869</v>
      </c>
      <c r="Y211" s="17">
        <v>6869</v>
      </c>
      <c r="Z211" s="4" t="s">
        <v>1434</v>
      </c>
      <c r="AA211" s="4" t="s">
        <v>1435</v>
      </c>
      <c r="AB211" s="4" t="s">
        <v>1436</v>
      </c>
      <c r="AC211" s="4" t="s">
        <v>1437</v>
      </c>
      <c r="AD211" s="4" t="s">
        <v>17</v>
      </c>
      <c r="AE211" s="4" t="s">
        <v>18</v>
      </c>
      <c r="AF211" s="4" t="s">
        <v>19</v>
      </c>
      <c r="AG211" s="4" t="s">
        <v>19</v>
      </c>
      <c r="AH211" s="17">
        <v>15910.10475</v>
      </c>
    </row>
    <row r="212" spans="2:34" ht="15">
      <c r="B212" s="1" t="s">
        <v>153</v>
      </c>
      <c r="C212" s="2">
        <v>43627</v>
      </c>
      <c r="D212" s="1" t="s">
        <v>154</v>
      </c>
      <c r="E212" s="1"/>
      <c r="F212" s="1" t="s">
        <v>3</v>
      </c>
      <c r="G212" s="1" t="s">
        <v>4</v>
      </c>
      <c r="H212" s="1" t="s">
        <v>109</v>
      </c>
      <c r="I212" s="2">
        <v>43626</v>
      </c>
      <c r="J212" s="3">
        <v>0.4965277777777778</v>
      </c>
      <c r="K212" s="2">
        <v>43630</v>
      </c>
      <c r="L212" s="1" t="s">
        <v>6</v>
      </c>
      <c r="M212" s="1"/>
      <c r="N212" s="1" t="s">
        <v>232</v>
      </c>
      <c r="O212" s="1" t="s">
        <v>233</v>
      </c>
      <c r="P212" s="1" t="s">
        <v>234</v>
      </c>
      <c r="Q212" s="1" t="s">
        <v>4</v>
      </c>
      <c r="R212" s="1" t="s">
        <v>4</v>
      </c>
      <c r="S212" s="1" t="s">
        <v>10</v>
      </c>
      <c r="T212" s="1"/>
      <c r="U212" s="1"/>
      <c r="V212" s="1"/>
      <c r="W212" s="1" t="s">
        <v>27</v>
      </c>
      <c r="X212" s="16">
        <v>9100</v>
      </c>
      <c r="Y212" s="16">
        <v>9100</v>
      </c>
      <c r="Z212" s="1" t="s">
        <v>1439</v>
      </c>
      <c r="AA212" s="1" t="s">
        <v>1440</v>
      </c>
      <c r="AB212" s="1" t="s">
        <v>1441</v>
      </c>
      <c r="AC212" s="1" t="s">
        <v>1442</v>
      </c>
      <c r="AD212" s="1" t="s">
        <v>17</v>
      </c>
      <c r="AE212" s="1" t="s">
        <v>18</v>
      </c>
      <c r="AF212" s="1" t="s">
        <v>19</v>
      </c>
      <c r="AG212" s="1" t="s">
        <v>19</v>
      </c>
      <c r="AH212" s="16">
        <v>58950.163</v>
      </c>
    </row>
    <row r="213" spans="2:34" ht="15">
      <c r="B213" s="4" t="s">
        <v>153</v>
      </c>
      <c r="C213" s="5">
        <v>43627</v>
      </c>
      <c r="D213" s="4" t="s">
        <v>154</v>
      </c>
      <c r="E213" s="4"/>
      <c r="F213" s="4" t="s">
        <v>3</v>
      </c>
      <c r="G213" s="4" t="s">
        <v>4</v>
      </c>
      <c r="H213" s="4" t="s">
        <v>23</v>
      </c>
      <c r="I213" s="5">
        <v>43626</v>
      </c>
      <c r="J213" s="6">
        <v>0.6589467592592593</v>
      </c>
      <c r="K213" s="5">
        <v>43630</v>
      </c>
      <c r="L213" s="4" t="s">
        <v>6</v>
      </c>
      <c r="M213" s="4"/>
      <c r="N213" s="4" t="s">
        <v>174</v>
      </c>
      <c r="O213" s="4" t="s">
        <v>175</v>
      </c>
      <c r="P213" s="4" t="s">
        <v>176</v>
      </c>
      <c r="Q213" s="4" t="s">
        <v>4</v>
      </c>
      <c r="R213" s="4" t="s">
        <v>4</v>
      </c>
      <c r="S213" s="4" t="s">
        <v>10</v>
      </c>
      <c r="T213" s="4"/>
      <c r="U213" s="4"/>
      <c r="V213" s="4"/>
      <c r="W213" s="4" t="s">
        <v>27</v>
      </c>
      <c r="X213" s="17">
        <v>67100</v>
      </c>
      <c r="Y213" s="17">
        <v>67100</v>
      </c>
      <c r="Z213" s="4" t="s">
        <v>1444</v>
      </c>
      <c r="AA213" s="4" t="s">
        <v>1445</v>
      </c>
      <c r="AB213" s="4" t="s">
        <v>1446</v>
      </c>
      <c r="AC213" s="4" t="s">
        <v>1447</v>
      </c>
      <c r="AD213" s="4" t="s">
        <v>17</v>
      </c>
      <c r="AE213" s="4" t="s">
        <v>18</v>
      </c>
      <c r="AF213" s="4" t="s">
        <v>19</v>
      </c>
      <c r="AG213" s="4" t="s">
        <v>19</v>
      </c>
      <c r="AH213" s="17">
        <v>49754.308</v>
      </c>
    </row>
    <row r="214" spans="2:34" ht="15">
      <c r="B214" s="1" t="s">
        <v>153</v>
      </c>
      <c r="C214" s="2">
        <v>43627</v>
      </c>
      <c r="D214" s="1" t="s">
        <v>154</v>
      </c>
      <c r="E214" s="1"/>
      <c r="F214" s="1" t="s">
        <v>3</v>
      </c>
      <c r="G214" s="1" t="s">
        <v>4</v>
      </c>
      <c r="H214" s="1" t="s">
        <v>23</v>
      </c>
      <c r="I214" s="2">
        <v>43626</v>
      </c>
      <c r="J214" s="3">
        <v>0.4608333333333333</v>
      </c>
      <c r="K214" s="2">
        <v>43630</v>
      </c>
      <c r="L214" s="1" t="s">
        <v>6</v>
      </c>
      <c r="M214" s="1"/>
      <c r="N214" s="1" t="s">
        <v>165</v>
      </c>
      <c r="O214" s="1" t="s">
        <v>166</v>
      </c>
      <c r="P214" s="1" t="s">
        <v>167</v>
      </c>
      <c r="Q214" s="1" t="s">
        <v>4</v>
      </c>
      <c r="R214" s="1" t="s">
        <v>4</v>
      </c>
      <c r="S214" s="1" t="s">
        <v>10</v>
      </c>
      <c r="T214" s="1"/>
      <c r="U214" s="1"/>
      <c r="V214" s="1"/>
      <c r="W214" s="1" t="s">
        <v>27</v>
      </c>
      <c r="X214" s="16">
        <v>39600</v>
      </c>
      <c r="Y214" s="16">
        <v>39600</v>
      </c>
      <c r="Z214" s="1" t="s">
        <v>1449</v>
      </c>
      <c r="AA214" s="1" t="s">
        <v>1450</v>
      </c>
      <c r="AB214" s="1" t="s">
        <v>1451</v>
      </c>
      <c r="AC214" s="1" t="s">
        <v>1452</v>
      </c>
      <c r="AD214" s="1" t="s">
        <v>17</v>
      </c>
      <c r="AE214" s="1" t="s">
        <v>18</v>
      </c>
      <c r="AF214" s="1" t="s">
        <v>19</v>
      </c>
      <c r="AG214" s="1" t="s">
        <v>19</v>
      </c>
      <c r="AH214" s="16">
        <v>88088.824</v>
      </c>
    </row>
    <row r="215" spans="2:34" ht="15">
      <c r="B215" s="4" t="s">
        <v>153</v>
      </c>
      <c r="C215" s="5">
        <v>43627</v>
      </c>
      <c r="D215" s="4" t="s">
        <v>154</v>
      </c>
      <c r="E215" s="4"/>
      <c r="F215" s="4" t="s">
        <v>3</v>
      </c>
      <c r="G215" s="4" t="s">
        <v>4</v>
      </c>
      <c r="H215" s="4" t="s">
        <v>183</v>
      </c>
      <c r="I215" s="5">
        <v>43626</v>
      </c>
      <c r="J215" s="6">
        <v>0.5028356481481482</v>
      </c>
      <c r="K215" s="5">
        <v>43630</v>
      </c>
      <c r="L215" s="4" t="s">
        <v>6</v>
      </c>
      <c r="M215" s="4"/>
      <c r="N215" s="4" t="s">
        <v>260</v>
      </c>
      <c r="O215" s="4" t="s">
        <v>261</v>
      </c>
      <c r="P215" s="4" t="s">
        <v>262</v>
      </c>
      <c r="Q215" s="4" t="s">
        <v>4</v>
      </c>
      <c r="R215" s="4" t="s">
        <v>4</v>
      </c>
      <c r="S215" s="4" t="s">
        <v>10</v>
      </c>
      <c r="T215" s="4"/>
      <c r="U215" s="4"/>
      <c r="V215" s="4"/>
      <c r="W215" s="4" t="s">
        <v>27</v>
      </c>
      <c r="X215" s="17">
        <v>9150</v>
      </c>
      <c r="Y215" s="17">
        <v>9150</v>
      </c>
      <c r="Z215" s="4" t="s">
        <v>1454</v>
      </c>
      <c r="AA215" s="4" t="s">
        <v>1455</v>
      </c>
      <c r="AB215" s="4" t="s">
        <v>1456</v>
      </c>
      <c r="AC215" s="4" t="s">
        <v>1457</v>
      </c>
      <c r="AD215" s="4" t="s">
        <v>17</v>
      </c>
      <c r="AE215" s="4" t="s">
        <v>18</v>
      </c>
      <c r="AF215" s="4" t="s">
        <v>19</v>
      </c>
      <c r="AG215" s="4" t="s">
        <v>19</v>
      </c>
      <c r="AH215" s="17">
        <v>53110.00971</v>
      </c>
    </row>
    <row r="216" spans="2:34" ht="15">
      <c r="B216" s="1" t="s">
        <v>153</v>
      </c>
      <c r="C216" s="2">
        <v>43627</v>
      </c>
      <c r="D216" s="1" t="s">
        <v>154</v>
      </c>
      <c r="E216" s="1"/>
      <c r="F216" s="1" t="s">
        <v>3</v>
      </c>
      <c r="G216" s="1" t="s">
        <v>4</v>
      </c>
      <c r="H216" s="1" t="s">
        <v>23</v>
      </c>
      <c r="I216" s="2">
        <v>43626</v>
      </c>
      <c r="J216" s="3">
        <v>0.5746990740740741</v>
      </c>
      <c r="K216" s="2">
        <v>43630</v>
      </c>
      <c r="L216" s="1" t="s">
        <v>6</v>
      </c>
      <c r="M216" s="1"/>
      <c r="N216" s="1" t="s">
        <v>459</v>
      </c>
      <c r="O216" s="1" t="s">
        <v>460</v>
      </c>
      <c r="P216" s="1" t="s">
        <v>461</v>
      </c>
      <c r="Q216" s="1" t="s">
        <v>4</v>
      </c>
      <c r="R216" s="1" t="s">
        <v>4</v>
      </c>
      <c r="S216" s="1" t="s">
        <v>10</v>
      </c>
      <c r="T216" s="1"/>
      <c r="U216" s="1"/>
      <c r="V216" s="1"/>
      <c r="W216" s="1" t="s">
        <v>27</v>
      </c>
      <c r="X216" s="16">
        <v>11400</v>
      </c>
      <c r="Y216" s="16">
        <v>11400</v>
      </c>
      <c r="Z216" s="1" t="s">
        <v>1459</v>
      </c>
      <c r="AA216" s="1" t="s">
        <v>1460</v>
      </c>
      <c r="AB216" s="1" t="s">
        <v>1461</v>
      </c>
      <c r="AC216" s="1" t="s">
        <v>1462</v>
      </c>
      <c r="AD216" s="1" t="s">
        <v>17</v>
      </c>
      <c r="AE216" s="1" t="s">
        <v>18</v>
      </c>
      <c r="AF216" s="1" t="s">
        <v>19</v>
      </c>
      <c r="AG216" s="1" t="s">
        <v>19</v>
      </c>
      <c r="AH216" s="16">
        <v>69680.08</v>
      </c>
    </row>
    <row r="217" spans="2:34" ht="15">
      <c r="B217" s="4" t="s">
        <v>153</v>
      </c>
      <c r="C217" s="5">
        <v>43627</v>
      </c>
      <c r="D217" s="4" t="s">
        <v>154</v>
      </c>
      <c r="E217" s="4"/>
      <c r="F217" s="4" t="s">
        <v>3</v>
      </c>
      <c r="G217" s="4" t="s">
        <v>4</v>
      </c>
      <c r="H217" s="4" t="s">
        <v>1277</v>
      </c>
      <c r="I217" s="5">
        <v>43626</v>
      </c>
      <c r="J217" s="6">
        <v>0.5513888888888889</v>
      </c>
      <c r="K217" s="5">
        <v>43630</v>
      </c>
      <c r="L217" s="4" t="s">
        <v>6</v>
      </c>
      <c r="M217" s="4"/>
      <c r="N217" s="4" t="s">
        <v>418</v>
      </c>
      <c r="O217" s="4" t="s">
        <v>419</v>
      </c>
      <c r="P217" s="4" t="s">
        <v>420</v>
      </c>
      <c r="Q217" s="4" t="s">
        <v>4</v>
      </c>
      <c r="R217" s="4" t="s">
        <v>4</v>
      </c>
      <c r="S217" s="4" t="s">
        <v>10</v>
      </c>
      <c r="T217" s="4"/>
      <c r="U217" s="4"/>
      <c r="V217" s="4"/>
      <c r="W217" s="4" t="s">
        <v>27</v>
      </c>
      <c r="X217" s="17">
        <v>39500</v>
      </c>
      <c r="Y217" s="17">
        <v>39500</v>
      </c>
      <c r="Z217" s="4" t="s">
        <v>1464</v>
      </c>
      <c r="AA217" s="4" t="s">
        <v>1465</v>
      </c>
      <c r="AB217" s="4" t="s">
        <v>1466</v>
      </c>
      <c r="AC217" s="4" t="s">
        <v>1467</v>
      </c>
      <c r="AD217" s="4" t="s">
        <v>17</v>
      </c>
      <c r="AE217" s="4" t="s">
        <v>18</v>
      </c>
      <c r="AF217" s="4" t="s">
        <v>19</v>
      </c>
      <c r="AG217" s="4" t="s">
        <v>19</v>
      </c>
      <c r="AH217" s="17">
        <v>62733.715</v>
      </c>
    </row>
    <row r="218" spans="2:34" ht="15">
      <c r="B218" s="1" t="s">
        <v>153</v>
      </c>
      <c r="C218" s="2">
        <v>43627</v>
      </c>
      <c r="D218" s="1" t="s">
        <v>154</v>
      </c>
      <c r="E218" s="1"/>
      <c r="F218" s="1" t="s">
        <v>3</v>
      </c>
      <c r="G218" s="1" t="s">
        <v>4</v>
      </c>
      <c r="H218" s="1" t="s">
        <v>325</v>
      </c>
      <c r="I218" s="2">
        <v>43626</v>
      </c>
      <c r="J218" s="3">
        <v>0.48125</v>
      </c>
      <c r="K218" s="2">
        <v>43630</v>
      </c>
      <c r="L218" s="1" t="s">
        <v>6</v>
      </c>
      <c r="M218" s="1"/>
      <c r="N218" s="1" t="s">
        <v>1082</v>
      </c>
      <c r="O218" s="1" t="s">
        <v>1065</v>
      </c>
      <c r="P218" s="1" t="s">
        <v>1066</v>
      </c>
      <c r="Q218" s="1" t="s">
        <v>4</v>
      </c>
      <c r="R218" s="1" t="s">
        <v>4</v>
      </c>
      <c r="S218" s="1" t="s">
        <v>10</v>
      </c>
      <c r="T218" s="1"/>
      <c r="U218" s="1"/>
      <c r="V218" s="1"/>
      <c r="W218" s="1" t="s">
        <v>27</v>
      </c>
      <c r="X218" s="16">
        <v>27800</v>
      </c>
      <c r="Y218" s="16">
        <v>27800</v>
      </c>
      <c r="Z218" s="1" t="s">
        <v>1469</v>
      </c>
      <c r="AA218" s="1" t="s">
        <v>1470</v>
      </c>
      <c r="AB218" s="1" t="s">
        <v>1471</v>
      </c>
      <c r="AC218" s="1" t="s">
        <v>1472</v>
      </c>
      <c r="AD218" s="1" t="s">
        <v>17</v>
      </c>
      <c r="AE218" s="1" t="s">
        <v>18</v>
      </c>
      <c r="AF218" s="1" t="s">
        <v>19</v>
      </c>
      <c r="AG218" s="1" t="s">
        <v>19</v>
      </c>
      <c r="AH218" s="16">
        <v>62954.656</v>
      </c>
    </row>
    <row r="219" spans="2:34" ht="15">
      <c r="B219" s="4" t="s">
        <v>153</v>
      </c>
      <c r="C219" s="5">
        <v>43627</v>
      </c>
      <c r="D219" s="4" t="s">
        <v>154</v>
      </c>
      <c r="E219" s="4"/>
      <c r="F219" s="4" t="s">
        <v>3</v>
      </c>
      <c r="G219" s="4" t="s">
        <v>4</v>
      </c>
      <c r="H219" s="4" t="s">
        <v>119</v>
      </c>
      <c r="I219" s="5">
        <v>43626</v>
      </c>
      <c r="J219" s="6">
        <v>0.6912615740740741</v>
      </c>
      <c r="K219" s="5">
        <v>43630</v>
      </c>
      <c r="L219" s="4" t="s">
        <v>6</v>
      </c>
      <c r="M219" s="4"/>
      <c r="N219" s="4" t="s">
        <v>467</v>
      </c>
      <c r="O219" s="4" t="s">
        <v>468</v>
      </c>
      <c r="P219" s="4" t="s">
        <v>469</v>
      </c>
      <c r="Q219" s="4" t="s">
        <v>4</v>
      </c>
      <c r="R219" s="4" t="s">
        <v>4</v>
      </c>
      <c r="S219" s="4" t="s">
        <v>10</v>
      </c>
      <c r="T219" s="4"/>
      <c r="U219" s="4"/>
      <c r="V219" s="4"/>
      <c r="W219" s="4" t="s">
        <v>27</v>
      </c>
      <c r="X219" s="17">
        <v>7941</v>
      </c>
      <c r="Y219" s="17">
        <v>7941</v>
      </c>
      <c r="Z219" s="4" t="s">
        <v>1474</v>
      </c>
      <c r="AA219" s="4" t="s">
        <v>1475</v>
      </c>
      <c r="AB219" s="4" t="s">
        <v>1476</v>
      </c>
      <c r="AC219" s="4" t="s">
        <v>1477</v>
      </c>
      <c r="AD219" s="4" t="s">
        <v>17</v>
      </c>
      <c r="AE219" s="4" t="s">
        <v>18</v>
      </c>
      <c r="AF219" s="4" t="s">
        <v>19</v>
      </c>
      <c r="AG219" s="4" t="s">
        <v>19</v>
      </c>
      <c r="AH219" s="17">
        <v>46921.97521</v>
      </c>
    </row>
    <row r="220" spans="2:34" ht="15">
      <c r="B220" s="1" t="s">
        <v>153</v>
      </c>
      <c r="C220" s="2">
        <v>43627</v>
      </c>
      <c r="D220" s="1" t="s">
        <v>154</v>
      </c>
      <c r="E220" s="1"/>
      <c r="F220" s="1" t="s">
        <v>3</v>
      </c>
      <c r="G220" s="1" t="s">
        <v>4</v>
      </c>
      <c r="H220" s="1" t="s">
        <v>1277</v>
      </c>
      <c r="I220" s="2">
        <v>43626</v>
      </c>
      <c r="J220" s="3">
        <v>0.5763888888888888</v>
      </c>
      <c r="K220" s="2">
        <v>43630</v>
      </c>
      <c r="L220" s="1" t="s">
        <v>6</v>
      </c>
      <c r="M220" s="1"/>
      <c r="N220" s="1" t="s">
        <v>127</v>
      </c>
      <c r="O220" s="1" t="s">
        <v>128</v>
      </c>
      <c r="P220" s="1" t="s">
        <v>129</v>
      </c>
      <c r="Q220" s="1" t="s">
        <v>4</v>
      </c>
      <c r="R220" s="1" t="s">
        <v>4</v>
      </c>
      <c r="S220" s="1" t="s">
        <v>10</v>
      </c>
      <c r="T220" s="1"/>
      <c r="U220" s="1"/>
      <c r="V220" s="1"/>
      <c r="W220" s="1" t="s">
        <v>27</v>
      </c>
      <c r="X220" s="16">
        <v>5000</v>
      </c>
      <c r="Y220" s="16">
        <v>5000</v>
      </c>
      <c r="Z220" s="1" t="s">
        <v>1478</v>
      </c>
      <c r="AA220" s="1" t="s">
        <v>1479</v>
      </c>
      <c r="AB220" s="1" t="s">
        <v>1480</v>
      </c>
      <c r="AC220" s="1" t="s">
        <v>1481</v>
      </c>
      <c r="AD220" s="1" t="s">
        <v>17</v>
      </c>
      <c r="AE220" s="1" t="s">
        <v>18</v>
      </c>
      <c r="AF220" s="1" t="s">
        <v>19</v>
      </c>
      <c r="AG220" s="1" t="s">
        <v>19</v>
      </c>
      <c r="AH220" s="16">
        <v>40582</v>
      </c>
    </row>
    <row r="221" spans="2:34" ht="15">
      <c r="B221" s="4" t="s">
        <v>153</v>
      </c>
      <c r="C221" s="5">
        <v>43627</v>
      </c>
      <c r="D221" s="4" t="s">
        <v>154</v>
      </c>
      <c r="E221" s="4"/>
      <c r="F221" s="4" t="s">
        <v>3</v>
      </c>
      <c r="G221" s="4" t="s">
        <v>4</v>
      </c>
      <c r="H221" s="4" t="s">
        <v>119</v>
      </c>
      <c r="I221" s="5">
        <v>43626</v>
      </c>
      <c r="J221" s="6">
        <v>0.6873032407407408</v>
      </c>
      <c r="K221" s="5">
        <v>43630</v>
      </c>
      <c r="L221" s="4" t="s">
        <v>6</v>
      </c>
      <c r="M221" s="4"/>
      <c r="N221" s="4" t="s">
        <v>450</v>
      </c>
      <c r="O221" s="4" t="s">
        <v>451</v>
      </c>
      <c r="P221" s="4" t="s">
        <v>452</v>
      </c>
      <c r="Q221" s="4" t="s">
        <v>4</v>
      </c>
      <c r="R221" s="4" t="s">
        <v>4</v>
      </c>
      <c r="S221" s="4" t="s">
        <v>10</v>
      </c>
      <c r="T221" s="4"/>
      <c r="U221" s="4"/>
      <c r="V221" s="4"/>
      <c r="W221" s="4" t="s">
        <v>27</v>
      </c>
      <c r="X221" s="17">
        <v>5954</v>
      </c>
      <c r="Y221" s="17">
        <v>5954</v>
      </c>
      <c r="Z221" s="4" t="s">
        <v>1483</v>
      </c>
      <c r="AA221" s="4" t="s">
        <v>1484</v>
      </c>
      <c r="AB221" s="4" t="s">
        <v>1485</v>
      </c>
      <c r="AC221" s="4" t="s">
        <v>1486</v>
      </c>
      <c r="AD221" s="4" t="s">
        <v>17</v>
      </c>
      <c r="AE221" s="4" t="s">
        <v>18</v>
      </c>
      <c r="AF221" s="4" t="s">
        <v>19</v>
      </c>
      <c r="AG221" s="4" t="s">
        <v>19</v>
      </c>
      <c r="AH221" s="17">
        <v>35198.20464</v>
      </c>
    </row>
    <row r="222" spans="2:34" ht="15">
      <c r="B222" s="1" t="s">
        <v>153</v>
      </c>
      <c r="C222" s="2">
        <v>43627</v>
      </c>
      <c r="D222" s="1" t="s">
        <v>154</v>
      </c>
      <c r="E222" s="1"/>
      <c r="F222" s="1" t="s">
        <v>3</v>
      </c>
      <c r="G222" s="1" t="s">
        <v>4</v>
      </c>
      <c r="H222" s="1" t="s">
        <v>109</v>
      </c>
      <c r="I222" s="2">
        <v>43626</v>
      </c>
      <c r="J222" s="3">
        <v>0.4909722222222222</v>
      </c>
      <c r="K222" s="2">
        <v>43630</v>
      </c>
      <c r="L222" s="1" t="s">
        <v>6</v>
      </c>
      <c r="M222" s="1"/>
      <c r="N222" s="1" t="s">
        <v>241</v>
      </c>
      <c r="O222" s="1" t="s">
        <v>242</v>
      </c>
      <c r="P222" s="1" t="s">
        <v>243</v>
      </c>
      <c r="Q222" s="1" t="s">
        <v>4</v>
      </c>
      <c r="R222" s="1" t="s">
        <v>4</v>
      </c>
      <c r="S222" s="1" t="s">
        <v>10</v>
      </c>
      <c r="T222" s="1"/>
      <c r="U222" s="1"/>
      <c r="V222" s="1"/>
      <c r="W222" s="1" t="s">
        <v>27</v>
      </c>
      <c r="X222" s="16">
        <v>1900</v>
      </c>
      <c r="Y222" s="16">
        <v>1900</v>
      </c>
      <c r="Z222" s="1" t="s">
        <v>1488</v>
      </c>
      <c r="AA222" s="1" t="s">
        <v>1489</v>
      </c>
      <c r="AB222" s="1" t="s">
        <v>1490</v>
      </c>
      <c r="AC222" s="1" t="s">
        <v>1491</v>
      </c>
      <c r="AD222" s="1" t="s">
        <v>17</v>
      </c>
      <c r="AE222" s="1" t="s">
        <v>18</v>
      </c>
      <c r="AF222" s="1" t="s">
        <v>19</v>
      </c>
      <c r="AG222" s="1" t="s">
        <v>19</v>
      </c>
      <c r="AH222" s="16">
        <v>33888.64</v>
      </c>
    </row>
    <row r="223" spans="2:34" ht="15">
      <c r="B223" s="4" t="s">
        <v>153</v>
      </c>
      <c r="C223" s="5">
        <v>43627</v>
      </c>
      <c r="D223" s="4" t="s">
        <v>154</v>
      </c>
      <c r="E223" s="4"/>
      <c r="F223" s="4" t="s">
        <v>3</v>
      </c>
      <c r="G223" s="4" t="s">
        <v>4</v>
      </c>
      <c r="H223" s="4" t="s">
        <v>786</v>
      </c>
      <c r="I223" s="5">
        <v>43626</v>
      </c>
      <c r="J223" s="6">
        <v>0.45902777777777776</v>
      </c>
      <c r="K223" s="5">
        <v>43630</v>
      </c>
      <c r="L223" s="4" t="s">
        <v>6</v>
      </c>
      <c r="M223" s="4"/>
      <c r="N223" s="4" t="s">
        <v>269</v>
      </c>
      <c r="O223" s="4" t="s">
        <v>270</v>
      </c>
      <c r="P223" s="4" t="s">
        <v>271</v>
      </c>
      <c r="Q223" s="4" t="s">
        <v>4</v>
      </c>
      <c r="R223" s="4" t="s">
        <v>4</v>
      </c>
      <c r="S223" s="4" t="s">
        <v>10</v>
      </c>
      <c r="T223" s="4"/>
      <c r="U223" s="4"/>
      <c r="V223" s="4"/>
      <c r="W223" s="4" t="s">
        <v>27</v>
      </c>
      <c r="X223" s="17">
        <v>7490</v>
      </c>
      <c r="Y223" s="17">
        <v>7490</v>
      </c>
      <c r="Z223" s="4" t="s">
        <v>1493</v>
      </c>
      <c r="AA223" s="4" t="s">
        <v>1494</v>
      </c>
      <c r="AB223" s="4" t="s">
        <v>1495</v>
      </c>
      <c r="AC223" s="4" t="s">
        <v>1496</v>
      </c>
      <c r="AD223" s="4" t="s">
        <v>17</v>
      </c>
      <c r="AE223" s="4" t="s">
        <v>18</v>
      </c>
      <c r="AF223" s="4" t="s">
        <v>19</v>
      </c>
      <c r="AG223" s="4" t="s">
        <v>19</v>
      </c>
      <c r="AH223" s="17">
        <v>51710.3122</v>
      </c>
    </row>
    <row r="224" spans="2:34" ht="15">
      <c r="B224" s="1" t="s">
        <v>153</v>
      </c>
      <c r="C224" s="2">
        <v>43627</v>
      </c>
      <c r="D224" s="1" t="s">
        <v>154</v>
      </c>
      <c r="E224" s="1"/>
      <c r="F224" s="1" t="s">
        <v>3</v>
      </c>
      <c r="G224" s="1" t="s">
        <v>4</v>
      </c>
      <c r="H224" s="1" t="s">
        <v>90</v>
      </c>
      <c r="I224" s="2">
        <v>43626</v>
      </c>
      <c r="J224" s="3">
        <v>0.6571412037037037</v>
      </c>
      <c r="K224" s="2">
        <v>43630</v>
      </c>
      <c r="L224" s="1" t="s">
        <v>6</v>
      </c>
      <c r="M224" s="1"/>
      <c r="N224" s="1" t="s">
        <v>307</v>
      </c>
      <c r="O224" s="1" t="s">
        <v>308</v>
      </c>
      <c r="P224" s="1" t="s">
        <v>309</v>
      </c>
      <c r="Q224" s="1" t="s">
        <v>4</v>
      </c>
      <c r="R224" s="1" t="s">
        <v>4</v>
      </c>
      <c r="S224" s="1" t="s">
        <v>10</v>
      </c>
      <c r="T224" s="1"/>
      <c r="U224" s="1"/>
      <c r="V224" s="1"/>
      <c r="W224" s="1" t="s">
        <v>27</v>
      </c>
      <c r="X224" s="16">
        <v>32250</v>
      </c>
      <c r="Y224" s="16">
        <v>32250</v>
      </c>
      <c r="Z224" s="1" t="s">
        <v>1498</v>
      </c>
      <c r="AA224" s="1" t="s">
        <v>1499</v>
      </c>
      <c r="AB224" s="1" t="s">
        <v>1500</v>
      </c>
      <c r="AC224" s="1" t="s">
        <v>1501</v>
      </c>
      <c r="AD224" s="1" t="s">
        <v>17</v>
      </c>
      <c r="AE224" s="1" t="s">
        <v>18</v>
      </c>
      <c r="AF224" s="1" t="s">
        <v>19</v>
      </c>
      <c r="AG224" s="1" t="s">
        <v>19</v>
      </c>
      <c r="AH224" s="16">
        <v>67861.45</v>
      </c>
    </row>
    <row r="225" spans="2:34" ht="15">
      <c r="B225" s="4" t="s">
        <v>153</v>
      </c>
      <c r="C225" s="5">
        <v>43627</v>
      </c>
      <c r="D225" s="4" t="s">
        <v>154</v>
      </c>
      <c r="E225" s="4"/>
      <c r="F225" s="4" t="s">
        <v>3</v>
      </c>
      <c r="G225" s="4" t="s">
        <v>4</v>
      </c>
      <c r="H225" s="4" t="s">
        <v>1366</v>
      </c>
      <c r="I225" s="5">
        <v>43626</v>
      </c>
      <c r="J225" s="6">
        <v>0.5053587962962963</v>
      </c>
      <c r="K225" s="5">
        <v>43630</v>
      </c>
      <c r="L225" s="4" t="s">
        <v>6</v>
      </c>
      <c r="M225" s="4"/>
      <c r="N225" s="4" t="s">
        <v>401</v>
      </c>
      <c r="O225" s="4" t="s">
        <v>402</v>
      </c>
      <c r="P225" s="4" t="s">
        <v>1502</v>
      </c>
      <c r="Q225" s="4" t="s">
        <v>4</v>
      </c>
      <c r="R225" s="4" t="s">
        <v>4</v>
      </c>
      <c r="S225" s="4" t="s">
        <v>10</v>
      </c>
      <c r="T225" s="4"/>
      <c r="U225" s="4"/>
      <c r="V225" s="4"/>
      <c r="W225" s="4" t="s">
        <v>27</v>
      </c>
      <c r="X225" s="17">
        <v>621000</v>
      </c>
      <c r="Y225" s="17">
        <v>621000</v>
      </c>
      <c r="Z225" s="4" t="s">
        <v>1504</v>
      </c>
      <c r="AA225" s="4" t="s">
        <v>1505</v>
      </c>
      <c r="AB225" s="4" t="s">
        <v>1506</v>
      </c>
      <c r="AC225" s="4" t="s">
        <v>1507</v>
      </c>
      <c r="AD225" s="4" t="s">
        <v>17</v>
      </c>
      <c r="AE225" s="4" t="s">
        <v>18</v>
      </c>
      <c r="AF225" s="4" t="s">
        <v>19</v>
      </c>
      <c r="AG225" s="4" t="s">
        <v>19</v>
      </c>
      <c r="AH225" s="17">
        <v>91781.695</v>
      </c>
    </row>
    <row r="226" spans="2:34" ht="15">
      <c r="B226" s="1" t="s">
        <v>153</v>
      </c>
      <c r="C226" s="2">
        <v>43627</v>
      </c>
      <c r="D226" s="1" t="s">
        <v>154</v>
      </c>
      <c r="E226" s="1"/>
      <c r="F226" s="1" t="s">
        <v>3</v>
      </c>
      <c r="G226" s="1" t="s">
        <v>4</v>
      </c>
      <c r="H226" s="1" t="s">
        <v>109</v>
      </c>
      <c r="I226" s="2">
        <v>43627</v>
      </c>
      <c r="J226" s="3">
        <v>0.4314699074074074</v>
      </c>
      <c r="K226" s="2">
        <v>43630</v>
      </c>
      <c r="L226" s="1" t="s">
        <v>6</v>
      </c>
      <c r="M226" s="1"/>
      <c r="N226" s="1" t="s">
        <v>145</v>
      </c>
      <c r="O226" s="1" t="s">
        <v>146</v>
      </c>
      <c r="P226" s="1" t="s">
        <v>1508</v>
      </c>
      <c r="Q226" s="1" t="s">
        <v>4</v>
      </c>
      <c r="R226" s="1" t="s">
        <v>4</v>
      </c>
      <c r="S226" s="1" t="s">
        <v>10</v>
      </c>
      <c r="T226" s="1"/>
      <c r="U226" s="1"/>
      <c r="V226" s="1"/>
      <c r="W226" s="1" t="s">
        <v>27</v>
      </c>
      <c r="X226" s="16">
        <v>24150</v>
      </c>
      <c r="Y226" s="16">
        <v>24150</v>
      </c>
      <c r="Z226" s="1" t="s">
        <v>1510</v>
      </c>
      <c r="AA226" s="1" t="s">
        <v>1511</v>
      </c>
      <c r="AB226" s="1" t="s">
        <v>1512</v>
      </c>
      <c r="AC226" s="1" t="s">
        <v>1513</v>
      </c>
      <c r="AD226" s="1" t="s">
        <v>17</v>
      </c>
      <c r="AE226" s="1" t="s">
        <v>18</v>
      </c>
      <c r="AF226" s="1" t="s">
        <v>19</v>
      </c>
      <c r="AG226" s="1" t="s">
        <v>19</v>
      </c>
      <c r="AH226" s="16">
        <v>99214.03</v>
      </c>
    </row>
    <row r="227" spans="2:34" ht="15">
      <c r="B227" s="4" t="s">
        <v>153</v>
      </c>
      <c r="C227" s="5">
        <v>43627</v>
      </c>
      <c r="D227" s="4" t="s">
        <v>154</v>
      </c>
      <c r="E227" s="4"/>
      <c r="F227" s="4" t="s">
        <v>3</v>
      </c>
      <c r="G227" s="4" t="s">
        <v>4</v>
      </c>
      <c r="H227" s="4" t="s">
        <v>119</v>
      </c>
      <c r="I227" s="5">
        <v>43627</v>
      </c>
      <c r="J227" s="6">
        <v>0.4177777777777778</v>
      </c>
      <c r="K227" s="5">
        <v>43630</v>
      </c>
      <c r="L227" s="4" t="s">
        <v>6</v>
      </c>
      <c r="M227" s="4"/>
      <c r="N227" s="4" t="s">
        <v>156</v>
      </c>
      <c r="O227" s="4" t="s">
        <v>157</v>
      </c>
      <c r="P227" s="4" t="s">
        <v>158</v>
      </c>
      <c r="Q227" s="4" t="s">
        <v>4</v>
      </c>
      <c r="R227" s="4" t="s">
        <v>4</v>
      </c>
      <c r="S227" s="4" t="s">
        <v>10</v>
      </c>
      <c r="T227" s="4"/>
      <c r="U227" s="4"/>
      <c r="V227" s="4"/>
      <c r="W227" s="4" t="s">
        <v>27</v>
      </c>
      <c r="X227" s="17">
        <v>21631</v>
      </c>
      <c r="Y227" s="17">
        <v>21631</v>
      </c>
      <c r="Z227" s="4" t="s">
        <v>169</v>
      </c>
      <c r="AA227" s="4" t="s">
        <v>1515</v>
      </c>
      <c r="AB227" s="4" t="s">
        <v>1516</v>
      </c>
      <c r="AC227" s="4" t="s">
        <v>1517</v>
      </c>
      <c r="AD227" s="4" t="s">
        <v>17</v>
      </c>
      <c r="AE227" s="4" t="s">
        <v>18</v>
      </c>
      <c r="AF227" s="4" t="s">
        <v>19</v>
      </c>
      <c r="AG227" s="4" t="s">
        <v>19</v>
      </c>
      <c r="AH227" s="17">
        <v>50068.54522</v>
      </c>
    </row>
    <row r="228" spans="2:34" ht="15">
      <c r="B228" s="1" t="s">
        <v>20</v>
      </c>
      <c r="C228" s="2">
        <v>43628</v>
      </c>
      <c r="D228" s="1" t="s">
        <v>21</v>
      </c>
      <c r="E228" s="1" t="s">
        <v>144</v>
      </c>
      <c r="F228" s="1" t="s">
        <v>3</v>
      </c>
      <c r="G228" s="1" t="s">
        <v>4</v>
      </c>
      <c r="H228" s="1" t="s">
        <v>914</v>
      </c>
      <c r="I228" s="2">
        <v>43628</v>
      </c>
      <c r="J228" s="3">
        <v>0.46488425925925925</v>
      </c>
      <c r="K228" s="2">
        <v>43630</v>
      </c>
      <c r="L228" s="1" t="s">
        <v>6</v>
      </c>
      <c r="M228" s="1"/>
      <c r="N228" s="1" t="s">
        <v>156</v>
      </c>
      <c r="O228" s="1" t="s">
        <v>157</v>
      </c>
      <c r="P228" s="1" t="s">
        <v>158</v>
      </c>
      <c r="Q228" s="1" t="s">
        <v>4</v>
      </c>
      <c r="R228" s="1" t="s">
        <v>4</v>
      </c>
      <c r="S228" s="1" t="s">
        <v>10</v>
      </c>
      <c r="T228" s="1"/>
      <c r="U228" s="1"/>
      <c r="V228" s="1"/>
      <c r="W228" s="1" t="s">
        <v>27</v>
      </c>
      <c r="X228" s="16">
        <v>535000</v>
      </c>
      <c r="Y228" s="16">
        <v>535000</v>
      </c>
      <c r="Z228" s="1" t="s">
        <v>1520</v>
      </c>
      <c r="AA228" s="1" t="s">
        <v>1521</v>
      </c>
      <c r="AB228" s="1" t="s">
        <v>1522</v>
      </c>
      <c r="AC228" s="1" t="s">
        <v>1523</v>
      </c>
      <c r="AD228" s="1" t="s">
        <v>17</v>
      </c>
      <c r="AE228" s="1" t="s">
        <v>18</v>
      </c>
      <c r="AF228" s="1" t="s">
        <v>19</v>
      </c>
      <c r="AG228" s="1" t="s">
        <v>19</v>
      </c>
      <c r="AH228" s="16">
        <v>1227601.3</v>
      </c>
    </row>
    <row r="229" spans="2:34" ht="15">
      <c r="B229" s="4" t="s">
        <v>0</v>
      </c>
      <c r="C229" s="5">
        <v>43628</v>
      </c>
      <c r="D229" s="4" t="s">
        <v>1</v>
      </c>
      <c r="E229" s="4" t="s">
        <v>22</v>
      </c>
      <c r="F229" s="4" t="s">
        <v>3</v>
      </c>
      <c r="G229" s="4" t="s">
        <v>4</v>
      </c>
      <c r="H229" s="4" t="s">
        <v>1366</v>
      </c>
      <c r="I229" s="5">
        <v>43627</v>
      </c>
      <c r="J229" s="6">
        <v>0.6788541666666666</v>
      </c>
      <c r="K229" s="5">
        <v>43629</v>
      </c>
      <c r="L229" s="4" t="s">
        <v>6</v>
      </c>
      <c r="M229" s="4"/>
      <c r="N229" s="4" t="s">
        <v>401</v>
      </c>
      <c r="O229" s="4" t="s">
        <v>402</v>
      </c>
      <c r="P229" s="4" t="s">
        <v>1525</v>
      </c>
      <c r="Q229" s="4" t="s">
        <v>4</v>
      </c>
      <c r="R229" s="4" t="s">
        <v>4</v>
      </c>
      <c r="S229" s="4" t="s">
        <v>10</v>
      </c>
      <c r="T229" s="4"/>
      <c r="U229" s="4"/>
      <c r="V229" s="4"/>
      <c r="W229" s="4" t="s">
        <v>27</v>
      </c>
      <c r="X229" s="17">
        <v>900000</v>
      </c>
      <c r="Y229" s="17">
        <v>900000</v>
      </c>
      <c r="Z229" s="4" t="s">
        <v>1368</v>
      </c>
      <c r="AA229" s="4" t="s">
        <v>1527</v>
      </c>
      <c r="AB229" s="4" t="s">
        <v>1528</v>
      </c>
      <c r="AC229" s="4" t="s">
        <v>1529</v>
      </c>
      <c r="AD229" s="4" t="s">
        <v>17</v>
      </c>
      <c r="AE229" s="4" t="s">
        <v>18</v>
      </c>
      <c r="AF229" s="4" t="s">
        <v>19</v>
      </c>
      <c r="AG229" s="4" t="s">
        <v>19</v>
      </c>
      <c r="AH229" s="17">
        <v>130762</v>
      </c>
    </row>
    <row r="230" spans="2:34" ht="15">
      <c r="B230" s="1" t="s">
        <v>0</v>
      </c>
      <c r="C230" s="2">
        <v>43628</v>
      </c>
      <c r="D230" s="1" t="s">
        <v>1</v>
      </c>
      <c r="E230" s="1" t="s">
        <v>108</v>
      </c>
      <c r="F230" s="1" t="s">
        <v>3</v>
      </c>
      <c r="G230" s="1" t="s">
        <v>4</v>
      </c>
      <c r="H230" s="1" t="s">
        <v>23</v>
      </c>
      <c r="I230" s="2">
        <v>43628</v>
      </c>
      <c r="J230" s="3">
        <v>0.3721412037037037</v>
      </c>
      <c r="K230" s="2">
        <v>43630</v>
      </c>
      <c r="L230" s="1" t="s">
        <v>6</v>
      </c>
      <c r="M230" s="1"/>
      <c r="N230" s="1" t="s">
        <v>1530</v>
      </c>
      <c r="O230" s="1" t="s">
        <v>1531</v>
      </c>
      <c r="P230" s="1" t="s">
        <v>1532</v>
      </c>
      <c r="Q230" s="1" t="s">
        <v>4</v>
      </c>
      <c r="R230" s="1" t="s">
        <v>4</v>
      </c>
      <c r="S230" s="1" t="s">
        <v>10</v>
      </c>
      <c r="T230" s="1"/>
      <c r="U230" s="1"/>
      <c r="V230" s="1"/>
      <c r="W230" s="1" t="s">
        <v>27</v>
      </c>
      <c r="X230" s="16">
        <v>40000</v>
      </c>
      <c r="Y230" s="16">
        <v>40000</v>
      </c>
      <c r="Z230" s="1" t="s">
        <v>1533</v>
      </c>
      <c r="AA230" s="1" t="s">
        <v>1534</v>
      </c>
      <c r="AB230" s="1" t="s">
        <v>1535</v>
      </c>
      <c r="AC230" s="1" t="s">
        <v>1536</v>
      </c>
      <c r="AD230" s="1" t="s">
        <v>17</v>
      </c>
      <c r="AE230" s="1" t="s">
        <v>18</v>
      </c>
      <c r="AF230" s="1" t="s">
        <v>19</v>
      </c>
      <c r="AG230" s="1" t="s">
        <v>19</v>
      </c>
      <c r="AH230" s="16">
        <v>56313.4</v>
      </c>
    </row>
    <row r="231" spans="2:34" ht="15">
      <c r="B231" s="4" t="s">
        <v>153</v>
      </c>
      <c r="C231" s="5">
        <v>43628</v>
      </c>
      <c r="D231" s="4" t="s">
        <v>154</v>
      </c>
      <c r="E231" s="4" t="s">
        <v>1537</v>
      </c>
      <c r="F231" s="4" t="s">
        <v>3</v>
      </c>
      <c r="G231" s="4" t="s">
        <v>4</v>
      </c>
      <c r="H231" s="4" t="s">
        <v>119</v>
      </c>
      <c r="I231" s="5">
        <v>43628</v>
      </c>
      <c r="J231" s="6">
        <v>0.3474305555555556</v>
      </c>
      <c r="K231" s="5">
        <v>43630</v>
      </c>
      <c r="L231" s="4" t="s">
        <v>6</v>
      </c>
      <c r="M231" s="4"/>
      <c r="N231" s="4" t="s">
        <v>467</v>
      </c>
      <c r="O231" s="4" t="s">
        <v>468</v>
      </c>
      <c r="P231" s="4" t="s">
        <v>469</v>
      </c>
      <c r="Q231" s="4" t="s">
        <v>4</v>
      </c>
      <c r="R231" s="4" t="s">
        <v>4</v>
      </c>
      <c r="S231" s="4" t="s">
        <v>10</v>
      </c>
      <c r="T231" s="4"/>
      <c r="U231" s="4"/>
      <c r="V231" s="4"/>
      <c r="W231" s="4" t="s">
        <v>27</v>
      </c>
      <c r="X231" s="17">
        <v>2959</v>
      </c>
      <c r="Y231" s="17">
        <v>2959</v>
      </c>
      <c r="Z231" s="4" t="s">
        <v>1539</v>
      </c>
      <c r="AA231" s="4" t="s">
        <v>1540</v>
      </c>
      <c r="AB231" s="4" t="s">
        <v>1541</v>
      </c>
      <c r="AC231" s="4" t="s">
        <v>1542</v>
      </c>
      <c r="AD231" s="4" t="s">
        <v>17</v>
      </c>
      <c r="AE231" s="4" t="s">
        <v>18</v>
      </c>
      <c r="AF231" s="4" t="s">
        <v>19</v>
      </c>
      <c r="AG231" s="4" t="s">
        <v>19</v>
      </c>
      <c r="AH231" s="17">
        <v>17494.0162</v>
      </c>
    </row>
    <row r="232" spans="2:34" ht="15">
      <c r="B232" s="1" t="s">
        <v>153</v>
      </c>
      <c r="C232" s="2">
        <v>43628</v>
      </c>
      <c r="D232" s="1" t="s">
        <v>154</v>
      </c>
      <c r="E232" s="1" t="s">
        <v>1543</v>
      </c>
      <c r="F232" s="1" t="s">
        <v>3</v>
      </c>
      <c r="G232" s="1" t="s">
        <v>4</v>
      </c>
      <c r="H232" s="1" t="s">
        <v>1277</v>
      </c>
      <c r="I232" s="2">
        <v>43628</v>
      </c>
      <c r="J232" s="3">
        <v>0.4117476851851852</v>
      </c>
      <c r="K232" s="2">
        <v>43630</v>
      </c>
      <c r="L232" s="1" t="s">
        <v>6</v>
      </c>
      <c r="M232" s="1"/>
      <c r="N232" s="1" t="s">
        <v>127</v>
      </c>
      <c r="O232" s="1" t="s">
        <v>128</v>
      </c>
      <c r="P232" s="1" t="s">
        <v>1544</v>
      </c>
      <c r="Q232" s="1" t="s">
        <v>4</v>
      </c>
      <c r="R232" s="1" t="s">
        <v>4</v>
      </c>
      <c r="S232" s="1" t="s">
        <v>10</v>
      </c>
      <c r="T232" s="1"/>
      <c r="U232" s="1"/>
      <c r="V232" s="1"/>
      <c r="W232" s="1" t="s">
        <v>27</v>
      </c>
      <c r="X232" s="16">
        <v>5550</v>
      </c>
      <c r="Y232" s="16">
        <v>5550</v>
      </c>
      <c r="Z232" s="1" t="s">
        <v>1478</v>
      </c>
      <c r="AA232" s="1" t="s">
        <v>1546</v>
      </c>
      <c r="AB232" s="1" t="s">
        <v>1547</v>
      </c>
      <c r="AC232" s="1" t="s">
        <v>1548</v>
      </c>
      <c r="AD232" s="1" t="s">
        <v>17</v>
      </c>
      <c r="AE232" s="1" t="s">
        <v>18</v>
      </c>
      <c r="AF232" s="1" t="s">
        <v>19</v>
      </c>
      <c r="AG232" s="1" t="s">
        <v>19</v>
      </c>
      <c r="AH232" s="16">
        <v>45045.91</v>
      </c>
    </row>
    <row r="233" spans="2:34" ht="15">
      <c r="B233" s="4" t="s">
        <v>20</v>
      </c>
      <c r="C233" s="5">
        <v>43629</v>
      </c>
      <c r="D233" s="4" t="s">
        <v>21</v>
      </c>
      <c r="E233" s="4" t="s">
        <v>1549</v>
      </c>
      <c r="F233" s="4" t="s">
        <v>3</v>
      </c>
      <c r="G233" s="4" t="s">
        <v>4</v>
      </c>
      <c r="H233" s="4" t="s">
        <v>1277</v>
      </c>
      <c r="I233" s="5">
        <v>43628</v>
      </c>
      <c r="J233" s="6">
        <v>0.6479166666666667</v>
      </c>
      <c r="K233" s="5">
        <v>43630</v>
      </c>
      <c r="L233" s="4" t="s">
        <v>6</v>
      </c>
      <c r="M233" s="4"/>
      <c r="N233" s="4" t="s">
        <v>1407</v>
      </c>
      <c r="O233" s="4" t="s">
        <v>1408</v>
      </c>
      <c r="P233" s="4" t="s">
        <v>1550</v>
      </c>
      <c r="Q233" s="4" t="s">
        <v>4</v>
      </c>
      <c r="R233" s="4" t="s">
        <v>4</v>
      </c>
      <c r="S233" s="4" t="s">
        <v>10</v>
      </c>
      <c r="T233" s="4"/>
      <c r="U233" s="4"/>
      <c r="V233" s="4"/>
      <c r="W233" s="4" t="s">
        <v>27</v>
      </c>
      <c r="X233" s="17">
        <v>445500</v>
      </c>
      <c r="Y233" s="17">
        <v>445500</v>
      </c>
      <c r="Z233" s="4" t="s">
        <v>1552</v>
      </c>
      <c r="AA233" s="4" t="s">
        <v>1553</v>
      </c>
      <c r="AB233" s="4" t="s">
        <v>1554</v>
      </c>
      <c r="AC233" s="4" t="s">
        <v>1555</v>
      </c>
      <c r="AD233" s="4" t="s">
        <v>17</v>
      </c>
      <c r="AE233" s="4" t="s">
        <v>18</v>
      </c>
      <c r="AF233" s="4" t="s">
        <v>19</v>
      </c>
      <c r="AG233" s="4" t="s">
        <v>19</v>
      </c>
      <c r="AH233" s="17">
        <v>953045.785</v>
      </c>
    </row>
    <row r="234" spans="2:34" ht="15">
      <c r="B234" s="1" t="s">
        <v>20</v>
      </c>
      <c r="C234" s="2">
        <v>43629</v>
      </c>
      <c r="D234" s="1" t="s">
        <v>21</v>
      </c>
      <c r="E234" s="1" t="s">
        <v>1556</v>
      </c>
      <c r="F234" s="1" t="s">
        <v>3</v>
      </c>
      <c r="G234" s="1" t="s">
        <v>4</v>
      </c>
      <c r="H234" s="1" t="s">
        <v>183</v>
      </c>
      <c r="I234" s="2">
        <v>43628</v>
      </c>
      <c r="J234" s="3">
        <v>0.45902777777777776</v>
      </c>
      <c r="K234" s="2">
        <v>43630</v>
      </c>
      <c r="L234" s="1" t="s">
        <v>6</v>
      </c>
      <c r="M234" s="1"/>
      <c r="N234" s="1" t="s">
        <v>1557</v>
      </c>
      <c r="O234" s="1" t="s">
        <v>1558</v>
      </c>
      <c r="P234" s="1" t="s">
        <v>1559</v>
      </c>
      <c r="Q234" s="1" t="s">
        <v>4</v>
      </c>
      <c r="R234" s="1" t="s">
        <v>4</v>
      </c>
      <c r="S234" s="1" t="s">
        <v>10</v>
      </c>
      <c r="T234" s="1"/>
      <c r="U234" s="1"/>
      <c r="V234" s="1"/>
      <c r="W234" s="1" t="s">
        <v>27</v>
      </c>
      <c r="X234" s="16">
        <v>604379</v>
      </c>
      <c r="Y234" s="16">
        <v>604379</v>
      </c>
      <c r="Z234" s="1" t="s">
        <v>1561</v>
      </c>
      <c r="AA234" s="1" t="s">
        <v>1562</v>
      </c>
      <c r="AB234" s="1" t="s">
        <v>1563</v>
      </c>
      <c r="AC234" s="1" t="s">
        <v>1564</v>
      </c>
      <c r="AD234" s="1" t="s">
        <v>17</v>
      </c>
      <c r="AE234" s="1" t="s">
        <v>18</v>
      </c>
      <c r="AF234" s="1" t="s">
        <v>19</v>
      </c>
      <c r="AG234" s="1" t="s">
        <v>19</v>
      </c>
      <c r="AH234" s="16">
        <v>879617.2185</v>
      </c>
    </row>
    <row r="235" spans="2:34" ht="15">
      <c r="B235" s="4" t="s">
        <v>0</v>
      </c>
      <c r="C235" s="5">
        <v>43629</v>
      </c>
      <c r="D235" s="4" t="s">
        <v>1</v>
      </c>
      <c r="E235" s="4" t="s">
        <v>80</v>
      </c>
      <c r="F235" s="4" t="s">
        <v>3</v>
      </c>
      <c r="G235" s="4" t="s">
        <v>4</v>
      </c>
      <c r="H235" s="4" t="s">
        <v>1277</v>
      </c>
      <c r="I235" s="5">
        <v>43628</v>
      </c>
      <c r="J235" s="6">
        <v>0.6479166666666667</v>
      </c>
      <c r="K235" s="5">
        <v>43630</v>
      </c>
      <c r="L235" s="4" t="s">
        <v>6</v>
      </c>
      <c r="M235" s="4"/>
      <c r="N235" s="4" t="s">
        <v>1407</v>
      </c>
      <c r="O235" s="4" t="s">
        <v>1408</v>
      </c>
      <c r="P235" s="4" t="s">
        <v>1550</v>
      </c>
      <c r="Q235" s="4" t="s">
        <v>4</v>
      </c>
      <c r="R235" s="4" t="s">
        <v>4</v>
      </c>
      <c r="S235" s="4" t="s">
        <v>10</v>
      </c>
      <c r="T235" s="4"/>
      <c r="U235" s="4"/>
      <c r="V235" s="4"/>
      <c r="W235" s="4" t="s">
        <v>27</v>
      </c>
      <c r="X235" s="17">
        <v>101750</v>
      </c>
      <c r="Y235" s="17">
        <v>101750</v>
      </c>
      <c r="Z235" s="4" t="s">
        <v>1552</v>
      </c>
      <c r="AA235" s="4" t="s">
        <v>1566</v>
      </c>
      <c r="AB235" s="4" t="s">
        <v>1567</v>
      </c>
      <c r="AC235" s="4" t="s">
        <v>1568</v>
      </c>
      <c r="AD235" s="4" t="s">
        <v>17</v>
      </c>
      <c r="AE235" s="4" t="s">
        <v>18</v>
      </c>
      <c r="AF235" s="4" t="s">
        <v>19</v>
      </c>
      <c r="AG235" s="4" t="s">
        <v>19</v>
      </c>
      <c r="AH235" s="17">
        <v>217671.7225</v>
      </c>
    </row>
    <row r="236" spans="2:34" ht="15">
      <c r="B236" s="1" t="s">
        <v>0</v>
      </c>
      <c r="C236" s="2">
        <v>43629</v>
      </c>
      <c r="D236" s="1" t="s">
        <v>1</v>
      </c>
      <c r="E236" s="1" t="s">
        <v>89</v>
      </c>
      <c r="F236" s="1" t="s">
        <v>3</v>
      </c>
      <c r="G236" s="1" t="s">
        <v>4</v>
      </c>
      <c r="H236" s="1" t="s">
        <v>23</v>
      </c>
      <c r="I236" s="2">
        <v>43628</v>
      </c>
      <c r="J236" s="3">
        <v>0.5778009259259259</v>
      </c>
      <c r="K236" s="2">
        <v>43630</v>
      </c>
      <c r="L236" s="1" t="s">
        <v>6</v>
      </c>
      <c r="M236" s="1"/>
      <c r="N236" s="1" t="s">
        <v>24</v>
      </c>
      <c r="O236" s="1" t="s">
        <v>25</v>
      </c>
      <c r="P236" s="1" t="s">
        <v>1569</v>
      </c>
      <c r="Q236" s="1" t="s">
        <v>4</v>
      </c>
      <c r="R236" s="1" t="s">
        <v>4</v>
      </c>
      <c r="S236" s="1" t="s">
        <v>10</v>
      </c>
      <c r="T236" s="1"/>
      <c r="U236" s="1"/>
      <c r="V236" s="1"/>
      <c r="W236" s="1" t="s">
        <v>27</v>
      </c>
      <c r="X236" s="16">
        <v>50000</v>
      </c>
      <c r="Y236" s="16">
        <v>50000</v>
      </c>
      <c r="Z236" s="1" t="s">
        <v>1570</v>
      </c>
      <c r="AA236" s="1" t="s">
        <v>130</v>
      </c>
      <c r="AB236" s="1" t="s">
        <v>1571</v>
      </c>
      <c r="AC236" s="1" t="s">
        <v>1572</v>
      </c>
      <c r="AD236" s="1" t="s">
        <v>17</v>
      </c>
      <c r="AE236" s="1" t="s">
        <v>18</v>
      </c>
      <c r="AF236" s="1" t="s">
        <v>19</v>
      </c>
      <c r="AG236" s="1" t="s">
        <v>19</v>
      </c>
      <c r="AH236" s="16">
        <v>18538</v>
      </c>
    </row>
    <row r="237" spans="2:34" ht="15">
      <c r="B237" s="4" t="s">
        <v>153</v>
      </c>
      <c r="C237" s="5">
        <v>43629</v>
      </c>
      <c r="D237" s="4" t="s">
        <v>154</v>
      </c>
      <c r="E237" s="4" t="s">
        <v>1573</v>
      </c>
      <c r="F237" s="4" t="s">
        <v>3</v>
      </c>
      <c r="G237" s="4" t="s">
        <v>4</v>
      </c>
      <c r="H237" s="4" t="s">
        <v>183</v>
      </c>
      <c r="I237" s="5">
        <v>43628</v>
      </c>
      <c r="J237" s="6">
        <v>0.45902777777777776</v>
      </c>
      <c r="K237" s="5">
        <v>43630</v>
      </c>
      <c r="L237" s="4" t="s">
        <v>6</v>
      </c>
      <c r="M237" s="4"/>
      <c r="N237" s="4" t="s">
        <v>1557</v>
      </c>
      <c r="O237" s="4" t="s">
        <v>1574</v>
      </c>
      <c r="P237" s="4" t="s">
        <v>1559</v>
      </c>
      <c r="Q237" s="4" t="s">
        <v>4</v>
      </c>
      <c r="R237" s="4" t="s">
        <v>4</v>
      </c>
      <c r="S237" s="4" t="s">
        <v>10</v>
      </c>
      <c r="T237" s="4"/>
      <c r="U237" s="4"/>
      <c r="V237" s="4"/>
      <c r="W237" s="4" t="s">
        <v>27</v>
      </c>
      <c r="X237" s="17">
        <v>30621</v>
      </c>
      <c r="Y237" s="17">
        <v>30621</v>
      </c>
      <c r="Z237" s="4" t="s">
        <v>1561</v>
      </c>
      <c r="AA237" s="4" t="s">
        <v>1576</v>
      </c>
      <c r="AB237" s="4" t="s">
        <v>1577</v>
      </c>
      <c r="AC237" s="4" t="s">
        <v>1578</v>
      </c>
      <c r="AD237" s="4" t="s">
        <v>17</v>
      </c>
      <c r="AE237" s="4" t="s">
        <v>18</v>
      </c>
      <c r="AF237" s="4" t="s">
        <v>19</v>
      </c>
      <c r="AG237" s="4" t="s">
        <v>19</v>
      </c>
      <c r="AH237" s="17">
        <v>44566.9465</v>
      </c>
    </row>
    <row r="238" spans="2:34" ht="15">
      <c r="B238" s="1" t="s">
        <v>153</v>
      </c>
      <c r="C238" s="2">
        <v>43629</v>
      </c>
      <c r="D238" s="1" t="s">
        <v>154</v>
      </c>
      <c r="E238" s="1" t="s">
        <v>1579</v>
      </c>
      <c r="F238" s="1" t="s">
        <v>3</v>
      </c>
      <c r="G238" s="1" t="s">
        <v>4</v>
      </c>
      <c r="H238" s="1" t="s">
        <v>119</v>
      </c>
      <c r="I238" s="2">
        <v>43628</v>
      </c>
      <c r="J238" s="3">
        <v>0.5944212962962963</v>
      </c>
      <c r="K238" s="2">
        <v>43630</v>
      </c>
      <c r="L238" s="1" t="s">
        <v>6</v>
      </c>
      <c r="M238" s="1"/>
      <c r="N238" s="1" t="s">
        <v>288</v>
      </c>
      <c r="O238" s="1" t="s">
        <v>289</v>
      </c>
      <c r="P238" s="1" t="s">
        <v>1580</v>
      </c>
      <c r="Q238" s="1" t="s">
        <v>4</v>
      </c>
      <c r="R238" s="1" t="s">
        <v>4</v>
      </c>
      <c r="S238" s="1" t="s">
        <v>10</v>
      </c>
      <c r="T238" s="1"/>
      <c r="U238" s="1"/>
      <c r="V238" s="1"/>
      <c r="W238" s="1" t="s">
        <v>27</v>
      </c>
      <c r="X238" s="16">
        <v>23100</v>
      </c>
      <c r="Y238" s="16">
        <v>23100</v>
      </c>
      <c r="Z238" s="1" t="s">
        <v>1582</v>
      </c>
      <c r="AA238" s="1" t="s">
        <v>1583</v>
      </c>
      <c r="AB238" s="1" t="s">
        <v>1584</v>
      </c>
      <c r="AC238" s="1" t="s">
        <v>1585</v>
      </c>
      <c r="AD238" s="1" t="s">
        <v>17</v>
      </c>
      <c r="AE238" s="1" t="s">
        <v>18</v>
      </c>
      <c r="AF238" s="1" t="s">
        <v>19</v>
      </c>
      <c r="AG238" s="1" t="s">
        <v>19</v>
      </c>
      <c r="AH238" s="16">
        <v>62758.2642</v>
      </c>
    </row>
    <row r="239" spans="2:34" ht="15">
      <c r="B239" s="4" t="s">
        <v>153</v>
      </c>
      <c r="C239" s="5">
        <v>43629</v>
      </c>
      <c r="D239" s="4" t="s">
        <v>154</v>
      </c>
      <c r="E239" s="4" t="s">
        <v>1586</v>
      </c>
      <c r="F239" s="4" t="s">
        <v>3</v>
      </c>
      <c r="G239" s="4" t="s">
        <v>4</v>
      </c>
      <c r="H239" s="4" t="s">
        <v>90</v>
      </c>
      <c r="I239" s="5">
        <v>43629</v>
      </c>
      <c r="J239" s="6">
        <v>0.4576388888888889</v>
      </c>
      <c r="K239" s="5">
        <v>43633</v>
      </c>
      <c r="L239" s="4" t="s">
        <v>6</v>
      </c>
      <c r="M239" s="4"/>
      <c r="N239" s="4" t="s">
        <v>712</v>
      </c>
      <c r="O239" s="4" t="s">
        <v>428</v>
      </c>
      <c r="P239" s="4" t="s">
        <v>713</v>
      </c>
      <c r="Q239" s="4" t="s">
        <v>4</v>
      </c>
      <c r="R239" s="4" t="s">
        <v>4</v>
      </c>
      <c r="S239" s="4" t="s">
        <v>10</v>
      </c>
      <c r="T239" s="4"/>
      <c r="U239" s="4"/>
      <c r="V239" s="4"/>
      <c r="W239" s="4" t="s">
        <v>27</v>
      </c>
      <c r="X239" s="17">
        <v>25000</v>
      </c>
      <c r="Y239" s="17">
        <v>25000</v>
      </c>
      <c r="Z239" s="4" t="s">
        <v>1587</v>
      </c>
      <c r="AA239" s="4" t="s">
        <v>1588</v>
      </c>
      <c r="AB239" s="4" t="s">
        <v>1589</v>
      </c>
      <c r="AC239" s="4" t="s">
        <v>1590</v>
      </c>
      <c r="AD239" s="4" t="s">
        <v>17</v>
      </c>
      <c r="AE239" s="4" t="s">
        <v>18</v>
      </c>
      <c r="AF239" s="4" t="s">
        <v>19</v>
      </c>
      <c r="AG239" s="4" t="s">
        <v>19</v>
      </c>
      <c r="AH239" s="17">
        <v>62250.25</v>
      </c>
    </row>
    <row r="240" spans="2:34" ht="15">
      <c r="B240" s="1" t="s">
        <v>20</v>
      </c>
      <c r="C240" s="2">
        <v>43630</v>
      </c>
      <c r="D240" s="1" t="s">
        <v>21</v>
      </c>
      <c r="E240" s="1" t="s">
        <v>1591</v>
      </c>
      <c r="F240" s="1" t="s">
        <v>3</v>
      </c>
      <c r="G240" s="1" t="s">
        <v>4</v>
      </c>
      <c r="H240" s="1" t="s">
        <v>183</v>
      </c>
      <c r="I240" s="2">
        <v>43629</v>
      </c>
      <c r="J240" s="3">
        <v>0.6055902777777777</v>
      </c>
      <c r="K240" s="2">
        <v>43633</v>
      </c>
      <c r="L240" s="1" t="s">
        <v>6</v>
      </c>
      <c r="M240" s="1"/>
      <c r="N240" s="1" t="s">
        <v>1557</v>
      </c>
      <c r="O240" s="1" t="s">
        <v>1574</v>
      </c>
      <c r="P240" s="1" t="s">
        <v>1592</v>
      </c>
      <c r="Q240" s="1" t="s">
        <v>4</v>
      </c>
      <c r="R240" s="1" t="s">
        <v>4</v>
      </c>
      <c r="S240" s="1" t="s">
        <v>10</v>
      </c>
      <c r="T240" s="1"/>
      <c r="U240" s="1"/>
      <c r="V240" s="1"/>
      <c r="W240" s="1" t="s">
        <v>27</v>
      </c>
      <c r="X240" s="16">
        <v>277443</v>
      </c>
      <c r="Y240" s="16">
        <v>277443</v>
      </c>
      <c r="Z240" s="1" t="s">
        <v>1594</v>
      </c>
      <c r="AA240" s="1" t="s">
        <v>1595</v>
      </c>
      <c r="AB240" s="1" t="s">
        <v>1596</v>
      </c>
      <c r="AC240" s="1" t="s">
        <v>1597</v>
      </c>
      <c r="AD240" s="1" t="s">
        <v>17</v>
      </c>
      <c r="AE240" s="1" t="s">
        <v>18</v>
      </c>
      <c r="AF240" s="1" t="s">
        <v>19</v>
      </c>
      <c r="AG240" s="1" t="s">
        <v>19</v>
      </c>
      <c r="AH240" s="16">
        <v>407267.913</v>
      </c>
    </row>
    <row r="241" spans="2:34" ht="15">
      <c r="B241" s="4" t="s">
        <v>153</v>
      </c>
      <c r="C241" s="5">
        <v>43630</v>
      </c>
      <c r="D241" s="4" t="s">
        <v>154</v>
      </c>
      <c r="E241" s="4" t="s">
        <v>1598</v>
      </c>
      <c r="F241" s="4" t="s">
        <v>3</v>
      </c>
      <c r="G241" s="4" t="s">
        <v>4</v>
      </c>
      <c r="H241" s="4" t="s">
        <v>183</v>
      </c>
      <c r="I241" s="5">
        <v>43629</v>
      </c>
      <c r="J241" s="6">
        <v>0.6055902777777777</v>
      </c>
      <c r="K241" s="5">
        <v>43633</v>
      </c>
      <c r="L241" s="4" t="s">
        <v>6</v>
      </c>
      <c r="M241" s="4"/>
      <c r="N241" s="4" t="s">
        <v>1557</v>
      </c>
      <c r="O241" s="4" t="s">
        <v>1574</v>
      </c>
      <c r="P241" s="4" t="s">
        <v>1592</v>
      </c>
      <c r="Q241" s="4" t="s">
        <v>4</v>
      </c>
      <c r="R241" s="4" t="s">
        <v>4</v>
      </c>
      <c r="S241" s="4" t="s">
        <v>10</v>
      </c>
      <c r="T241" s="4"/>
      <c r="U241" s="4"/>
      <c r="V241" s="4"/>
      <c r="W241" s="4" t="s">
        <v>27</v>
      </c>
      <c r="X241" s="17">
        <v>14057</v>
      </c>
      <c r="Y241" s="17">
        <v>14057</v>
      </c>
      <c r="Z241" s="4" t="s">
        <v>1594</v>
      </c>
      <c r="AA241" s="4" t="s">
        <v>1600</v>
      </c>
      <c r="AB241" s="4" t="s">
        <v>1601</v>
      </c>
      <c r="AC241" s="4" t="s">
        <v>1602</v>
      </c>
      <c r="AD241" s="4" t="s">
        <v>17</v>
      </c>
      <c r="AE241" s="4" t="s">
        <v>18</v>
      </c>
      <c r="AF241" s="4" t="s">
        <v>19</v>
      </c>
      <c r="AG241" s="4" t="s">
        <v>19</v>
      </c>
      <c r="AH241" s="17">
        <v>20635.70201</v>
      </c>
    </row>
    <row r="242" spans="2:34" ht="15">
      <c r="B242" s="4" t="s">
        <v>20</v>
      </c>
      <c r="C242" s="5">
        <v>43633</v>
      </c>
      <c r="D242" s="4" t="s">
        <v>21</v>
      </c>
      <c r="E242" s="4" t="s">
        <v>1603</v>
      </c>
      <c r="F242" s="4" t="s">
        <v>3</v>
      </c>
      <c r="G242" s="4" t="s">
        <v>4</v>
      </c>
      <c r="H242" s="4" t="s">
        <v>1277</v>
      </c>
      <c r="I242" s="5">
        <v>43628</v>
      </c>
      <c r="J242" s="6">
        <v>0.6479166666666667</v>
      </c>
      <c r="K242" s="5">
        <v>43635</v>
      </c>
      <c r="L242" s="4" t="s">
        <v>6</v>
      </c>
      <c r="M242" s="4"/>
      <c r="N242" s="4" t="s">
        <v>1407</v>
      </c>
      <c r="O242" s="4" t="s">
        <v>1408</v>
      </c>
      <c r="P242" s="4" t="s">
        <v>1550</v>
      </c>
      <c r="Q242" s="4" t="s">
        <v>4</v>
      </c>
      <c r="R242" s="4" t="s">
        <v>4</v>
      </c>
      <c r="S242" s="4" t="s">
        <v>10</v>
      </c>
      <c r="T242" s="4"/>
      <c r="U242" s="4"/>
      <c r="V242" s="4"/>
      <c r="W242" s="4" t="s">
        <v>27</v>
      </c>
      <c r="X242" s="17">
        <v>447857</v>
      </c>
      <c r="Y242" s="17">
        <v>447857</v>
      </c>
      <c r="Z242" s="4" t="s">
        <v>1552</v>
      </c>
      <c r="AA242" s="4" t="s">
        <v>1605</v>
      </c>
      <c r="AB242" s="4" t="s">
        <v>1606</v>
      </c>
      <c r="AC242" s="4" t="s">
        <v>1607</v>
      </c>
      <c r="AD242" s="4" t="s">
        <v>17</v>
      </c>
      <c r="AE242" s="4" t="s">
        <v>18</v>
      </c>
      <c r="AF242" s="4" t="s">
        <v>19</v>
      </c>
      <c r="AG242" s="4" t="s">
        <v>19</v>
      </c>
      <c r="AH242" s="17">
        <v>958088.0544</v>
      </c>
    </row>
    <row r="243" spans="2:34" ht="15">
      <c r="B243" s="1" t="s">
        <v>20</v>
      </c>
      <c r="C243" s="2">
        <v>43633</v>
      </c>
      <c r="D243" s="1" t="s">
        <v>21</v>
      </c>
      <c r="E243" s="1" t="s">
        <v>1608</v>
      </c>
      <c r="F243" s="1" t="s">
        <v>3</v>
      </c>
      <c r="G243" s="1" t="s">
        <v>4</v>
      </c>
      <c r="H243" s="1" t="s">
        <v>1277</v>
      </c>
      <c r="I243" s="2">
        <v>43630</v>
      </c>
      <c r="J243" s="3">
        <v>0.6013888888888889</v>
      </c>
      <c r="K243" s="2">
        <v>43634</v>
      </c>
      <c r="L243" s="1" t="s">
        <v>6</v>
      </c>
      <c r="M243" s="1"/>
      <c r="N243" s="1" t="s">
        <v>1407</v>
      </c>
      <c r="O243" s="1" t="s">
        <v>1408</v>
      </c>
      <c r="P243" s="1" t="s">
        <v>1409</v>
      </c>
      <c r="Q243" s="1" t="s">
        <v>4</v>
      </c>
      <c r="R243" s="1" t="s">
        <v>4</v>
      </c>
      <c r="S243" s="1" t="s">
        <v>10</v>
      </c>
      <c r="T243" s="1"/>
      <c r="U243" s="1"/>
      <c r="V243" s="1"/>
      <c r="W243" s="1" t="s">
        <v>27</v>
      </c>
      <c r="X243" s="16">
        <v>53176</v>
      </c>
      <c r="Y243" s="16">
        <v>53176</v>
      </c>
      <c r="Z243" s="1" t="s">
        <v>981</v>
      </c>
      <c r="AA243" s="1" t="s">
        <v>1610</v>
      </c>
      <c r="AB243" s="1" t="s">
        <v>1611</v>
      </c>
      <c r="AC243" s="1" t="s">
        <v>1612</v>
      </c>
      <c r="AD243" s="1" t="s">
        <v>17</v>
      </c>
      <c r="AE243" s="1" t="s">
        <v>18</v>
      </c>
      <c r="AF243" s="1" t="s">
        <v>19</v>
      </c>
      <c r="AG243" s="1" t="s">
        <v>19</v>
      </c>
      <c r="AH243" s="16">
        <v>115090.8903</v>
      </c>
    </row>
    <row r="244" spans="2:34" ht="15">
      <c r="B244" s="4" t="s">
        <v>20</v>
      </c>
      <c r="C244" s="5">
        <v>43633</v>
      </c>
      <c r="D244" s="4" t="s">
        <v>21</v>
      </c>
      <c r="E244" s="4" t="s">
        <v>1613</v>
      </c>
      <c r="F244" s="4" t="s">
        <v>3</v>
      </c>
      <c r="G244" s="4" t="s">
        <v>4</v>
      </c>
      <c r="H244" s="4" t="s">
        <v>126</v>
      </c>
      <c r="I244" s="5">
        <v>43630</v>
      </c>
      <c r="J244" s="6">
        <v>0.5208333333333334</v>
      </c>
      <c r="K244" s="5">
        <v>43634</v>
      </c>
      <c r="L244" s="4" t="s">
        <v>6</v>
      </c>
      <c r="M244" s="4"/>
      <c r="N244" s="4" t="s">
        <v>1557</v>
      </c>
      <c r="O244" s="4" t="s">
        <v>1574</v>
      </c>
      <c r="P244" s="4" t="s">
        <v>1559</v>
      </c>
      <c r="Q244" s="4" t="s">
        <v>4</v>
      </c>
      <c r="R244" s="4" t="s">
        <v>4</v>
      </c>
      <c r="S244" s="4" t="s">
        <v>10</v>
      </c>
      <c r="T244" s="4"/>
      <c r="U244" s="4"/>
      <c r="V244" s="4"/>
      <c r="W244" s="4" t="s">
        <v>27</v>
      </c>
      <c r="X244" s="17">
        <v>95178</v>
      </c>
      <c r="Y244" s="17">
        <v>95178</v>
      </c>
      <c r="Z244" s="4" t="s">
        <v>1594</v>
      </c>
      <c r="AA244" s="4" t="s">
        <v>1616</v>
      </c>
      <c r="AB244" s="4" t="s">
        <v>1617</v>
      </c>
      <c r="AC244" s="4" t="s">
        <v>1618</v>
      </c>
      <c r="AD244" s="4" t="s">
        <v>17</v>
      </c>
      <c r="AE244" s="4" t="s">
        <v>18</v>
      </c>
      <c r="AF244" s="4" t="s">
        <v>19</v>
      </c>
      <c r="AG244" s="4" t="s">
        <v>19</v>
      </c>
      <c r="AH244" s="17">
        <v>139715.6415</v>
      </c>
    </row>
    <row r="245" spans="2:34" ht="15">
      <c r="B245" s="4" t="s">
        <v>0</v>
      </c>
      <c r="C245" s="5">
        <v>43633</v>
      </c>
      <c r="D245" s="4" t="s">
        <v>1</v>
      </c>
      <c r="E245" s="4" t="s">
        <v>100</v>
      </c>
      <c r="F245" s="4" t="s">
        <v>3</v>
      </c>
      <c r="G245" s="4" t="s">
        <v>4</v>
      </c>
      <c r="H245" s="4" t="s">
        <v>1277</v>
      </c>
      <c r="I245" s="5">
        <v>43628</v>
      </c>
      <c r="J245" s="6">
        <v>0.6479166666666667</v>
      </c>
      <c r="K245" s="5">
        <v>43635</v>
      </c>
      <c r="L245" s="4" t="s">
        <v>6</v>
      </c>
      <c r="M245" s="4"/>
      <c r="N245" s="4" t="s">
        <v>1407</v>
      </c>
      <c r="O245" s="4" t="s">
        <v>1408</v>
      </c>
      <c r="P245" s="4" t="s">
        <v>1550</v>
      </c>
      <c r="Q245" s="4" t="s">
        <v>4</v>
      </c>
      <c r="R245" s="4" t="s">
        <v>4</v>
      </c>
      <c r="S245" s="4" t="s">
        <v>10</v>
      </c>
      <c r="T245" s="4"/>
      <c r="U245" s="4"/>
      <c r="V245" s="4"/>
      <c r="W245" s="4" t="s">
        <v>27</v>
      </c>
      <c r="X245" s="17">
        <v>102143</v>
      </c>
      <c r="Y245" s="17">
        <v>102143</v>
      </c>
      <c r="Z245" s="4" t="s">
        <v>1552</v>
      </c>
      <c r="AA245" s="4" t="s">
        <v>1620</v>
      </c>
      <c r="AB245" s="4" t="s">
        <v>1621</v>
      </c>
      <c r="AC245" s="4" t="s">
        <v>1622</v>
      </c>
      <c r="AD245" s="4" t="s">
        <v>17</v>
      </c>
      <c r="AE245" s="4" t="s">
        <v>18</v>
      </c>
      <c r="AF245" s="4" t="s">
        <v>19</v>
      </c>
      <c r="AG245" s="4" t="s">
        <v>19</v>
      </c>
      <c r="AH245" s="17">
        <v>218512.4556</v>
      </c>
    </row>
    <row r="246" spans="2:34" ht="15">
      <c r="B246" s="1" t="s">
        <v>0</v>
      </c>
      <c r="C246" s="2">
        <v>43633</v>
      </c>
      <c r="D246" s="1" t="s">
        <v>1</v>
      </c>
      <c r="E246" s="1" t="s">
        <v>494</v>
      </c>
      <c r="F246" s="1" t="s">
        <v>3</v>
      </c>
      <c r="G246" s="1" t="s">
        <v>4</v>
      </c>
      <c r="H246" s="1" t="s">
        <v>1277</v>
      </c>
      <c r="I246" s="2">
        <v>43630</v>
      </c>
      <c r="J246" s="3">
        <v>0.6013888888888889</v>
      </c>
      <c r="K246" s="2">
        <v>43634</v>
      </c>
      <c r="L246" s="1" t="s">
        <v>6</v>
      </c>
      <c r="M246" s="1"/>
      <c r="N246" s="1" t="s">
        <v>1407</v>
      </c>
      <c r="O246" s="1" t="s">
        <v>1408</v>
      </c>
      <c r="P246" s="1" t="s">
        <v>1409</v>
      </c>
      <c r="Q246" s="1" t="s">
        <v>4</v>
      </c>
      <c r="R246" s="1" t="s">
        <v>4</v>
      </c>
      <c r="S246" s="1" t="s">
        <v>10</v>
      </c>
      <c r="T246" s="1"/>
      <c r="U246" s="1"/>
      <c r="V246" s="1"/>
      <c r="W246" s="1" t="s">
        <v>27</v>
      </c>
      <c r="X246" s="16">
        <v>12128</v>
      </c>
      <c r="Y246" s="16">
        <v>12128</v>
      </c>
      <c r="Z246" s="1" t="s">
        <v>981</v>
      </c>
      <c r="AA246" s="1" t="s">
        <v>1624</v>
      </c>
      <c r="AB246" s="1" t="s">
        <v>1625</v>
      </c>
      <c r="AC246" s="1" t="s">
        <v>1626</v>
      </c>
      <c r="AD246" s="1" t="s">
        <v>17</v>
      </c>
      <c r="AE246" s="1" t="s">
        <v>18</v>
      </c>
      <c r="AF246" s="1" t="s">
        <v>19</v>
      </c>
      <c r="AG246" s="1" t="s">
        <v>19</v>
      </c>
      <c r="AH246" s="16">
        <v>26249.87296</v>
      </c>
    </row>
    <row r="247" spans="2:34" ht="15">
      <c r="B247" s="4" t="s">
        <v>0</v>
      </c>
      <c r="C247" s="5">
        <v>43633</v>
      </c>
      <c r="D247" s="4" t="s">
        <v>1</v>
      </c>
      <c r="E247" s="4" t="s">
        <v>507</v>
      </c>
      <c r="F247" s="4" t="s">
        <v>3</v>
      </c>
      <c r="G247" s="4" t="s">
        <v>4</v>
      </c>
      <c r="H247" s="4" t="s">
        <v>23</v>
      </c>
      <c r="I247" s="5">
        <v>43630</v>
      </c>
      <c r="J247" s="6">
        <v>0.6127777777777778</v>
      </c>
      <c r="K247" s="5">
        <v>43634</v>
      </c>
      <c r="L247" s="4" t="s">
        <v>6</v>
      </c>
      <c r="M247" s="4"/>
      <c r="N247" s="4" t="s">
        <v>24</v>
      </c>
      <c r="O247" s="4" t="s">
        <v>25</v>
      </c>
      <c r="P247" s="4" t="s">
        <v>648</v>
      </c>
      <c r="Q247" s="4" t="s">
        <v>4</v>
      </c>
      <c r="R247" s="4" t="s">
        <v>4</v>
      </c>
      <c r="S247" s="4" t="s">
        <v>10</v>
      </c>
      <c r="T247" s="4"/>
      <c r="U247" s="4"/>
      <c r="V247" s="4"/>
      <c r="W247" s="4" t="s">
        <v>27</v>
      </c>
      <c r="X247" s="17">
        <v>100000</v>
      </c>
      <c r="Y247" s="17">
        <v>100000</v>
      </c>
      <c r="Z247" s="4" t="s">
        <v>87</v>
      </c>
      <c r="AA247" s="4" t="s">
        <v>1627</v>
      </c>
      <c r="AB247" s="4" t="s">
        <v>1628</v>
      </c>
      <c r="AC247" s="4" t="s">
        <v>1629</v>
      </c>
      <c r="AD247" s="4" t="s">
        <v>17</v>
      </c>
      <c r="AE247" s="4" t="s">
        <v>18</v>
      </c>
      <c r="AF247" s="4" t="s">
        <v>19</v>
      </c>
      <c r="AG247" s="4" t="s">
        <v>19</v>
      </c>
      <c r="AH247" s="17">
        <v>38077</v>
      </c>
    </row>
    <row r="248" spans="2:34" ht="15">
      <c r="B248" s="1" t="s">
        <v>0</v>
      </c>
      <c r="C248" s="2">
        <v>43633</v>
      </c>
      <c r="D248" s="1" t="s">
        <v>1</v>
      </c>
      <c r="E248" s="1" t="s">
        <v>515</v>
      </c>
      <c r="F248" s="1" t="s">
        <v>3</v>
      </c>
      <c r="G248" s="1" t="s">
        <v>4</v>
      </c>
      <c r="H248" s="1" t="s">
        <v>119</v>
      </c>
      <c r="I248" s="2">
        <v>43630</v>
      </c>
      <c r="J248" s="3">
        <v>0.6243287037037037</v>
      </c>
      <c r="K248" s="2">
        <v>43634</v>
      </c>
      <c r="L248" s="1" t="s">
        <v>6</v>
      </c>
      <c r="M248" s="1"/>
      <c r="N248" s="1" t="s">
        <v>110</v>
      </c>
      <c r="O248" s="1" t="s">
        <v>111</v>
      </c>
      <c r="P248" s="1" t="s">
        <v>112</v>
      </c>
      <c r="Q248" s="1" t="s">
        <v>4</v>
      </c>
      <c r="R248" s="1" t="s">
        <v>4</v>
      </c>
      <c r="S248" s="1" t="s">
        <v>10</v>
      </c>
      <c r="T248" s="1"/>
      <c r="U248" s="1"/>
      <c r="V248" s="1"/>
      <c r="W248" s="1" t="s">
        <v>11</v>
      </c>
      <c r="X248" s="16">
        <v>32173</v>
      </c>
      <c r="Y248" s="16">
        <v>32173</v>
      </c>
      <c r="Z248" s="1" t="s">
        <v>1631</v>
      </c>
      <c r="AA248" s="1" t="s">
        <v>1632</v>
      </c>
      <c r="AB248" s="1" t="s">
        <v>1633</v>
      </c>
      <c r="AC248" s="1" t="s">
        <v>17</v>
      </c>
      <c r="AD248" s="1" t="s">
        <v>17</v>
      </c>
      <c r="AE248" s="1" t="s">
        <v>18</v>
      </c>
      <c r="AF248" s="1" t="s">
        <v>19</v>
      </c>
      <c r="AG248" s="1" t="s">
        <v>19</v>
      </c>
      <c r="AH248" s="16">
        <v>91048.59</v>
      </c>
    </row>
    <row r="249" spans="2:34" ht="15">
      <c r="B249" s="4" t="s">
        <v>153</v>
      </c>
      <c r="C249" s="5">
        <v>43633</v>
      </c>
      <c r="D249" s="4" t="s">
        <v>154</v>
      </c>
      <c r="E249" s="4" t="s">
        <v>1634</v>
      </c>
      <c r="F249" s="4" t="s">
        <v>3</v>
      </c>
      <c r="G249" s="4" t="s">
        <v>4</v>
      </c>
      <c r="H249" s="4" t="s">
        <v>119</v>
      </c>
      <c r="I249" s="5">
        <v>43630</v>
      </c>
      <c r="J249" s="6">
        <v>0.6243287037037037</v>
      </c>
      <c r="K249" s="5">
        <v>43634</v>
      </c>
      <c r="L249" s="4" t="s">
        <v>6</v>
      </c>
      <c r="M249" s="4"/>
      <c r="N249" s="4" t="s">
        <v>110</v>
      </c>
      <c r="O249" s="4" t="s">
        <v>111</v>
      </c>
      <c r="P249" s="4" t="s">
        <v>112</v>
      </c>
      <c r="Q249" s="4" t="s">
        <v>4</v>
      </c>
      <c r="R249" s="4" t="s">
        <v>4</v>
      </c>
      <c r="S249" s="4" t="s">
        <v>10</v>
      </c>
      <c r="T249" s="4"/>
      <c r="U249" s="4"/>
      <c r="V249" s="4"/>
      <c r="W249" s="4" t="s">
        <v>27</v>
      </c>
      <c r="X249" s="17">
        <v>32173</v>
      </c>
      <c r="Y249" s="17">
        <v>32173</v>
      </c>
      <c r="Z249" s="4" t="s">
        <v>1631</v>
      </c>
      <c r="AA249" s="4" t="s">
        <v>1632</v>
      </c>
      <c r="AB249" s="4" t="s">
        <v>1635</v>
      </c>
      <c r="AC249" s="4" t="s">
        <v>17</v>
      </c>
      <c r="AD249" s="4" t="s">
        <v>17</v>
      </c>
      <c r="AE249" s="4" t="s">
        <v>18</v>
      </c>
      <c r="AF249" s="4" t="s">
        <v>19</v>
      </c>
      <c r="AG249" s="4" t="s">
        <v>19</v>
      </c>
      <c r="AH249" s="17">
        <v>91050.59</v>
      </c>
    </row>
    <row r="250" spans="2:34" ht="15">
      <c r="B250" s="1" t="s">
        <v>20</v>
      </c>
      <c r="C250" s="2">
        <v>43634</v>
      </c>
      <c r="D250" s="1" t="s">
        <v>21</v>
      </c>
      <c r="E250" s="1" t="s">
        <v>1636</v>
      </c>
      <c r="F250" s="1" t="s">
        <v>3</v>
      </c>
      <c r="G250" s="1" t="s">
        <v>4</v>
      </c>
      <c r="H250" s="1" t="s">
        <v>632</v>
      </c>
      <c r="I250" s="2">
        <v>43633</v>
      </c>
      <c r="J250" s="3">
        <v>0.6097800925925926</v>
      </c>
      <c r="K250" s="2">
        <v>43635</v>
      </c>
      <c r="L250" s="1" t="s">
        <v>6</v>
      </c>
      <c r="M250" s="1"/>
      <c r="N250" s="1" t="s">
        <v>1175</v>
      </c>
      <c r="O250" s="1" t="s">
        <v>1176</v>
      </c>
      <c r="P250" s="1" t="s">
        <v>1177</v>
      </c>
      <c r="Q250" s="1" t="s">
        <v>4</v>
      </c>
      <c r="R250" s="1" t="s">
        <v>4</v>
      </c>
      <c r="S250" s="1" t="s">
        <v>10</v>
      </c>
      <c r="T250" s="1"/>
      <c r="U250" s="1"/>
      <c r="V250" s="1"/>
      <c r="W250" s="1" t="s">
        <v>11</v>
      </c>
      <c r="X250" s="16">
        <v>270000</v>
      </c>
      <c r="Y250" s="16">
        <v>270000</v>
      </c>
      <c r="Z250" s="1" t="s">
        <v>1638</v>
      </c>
      <c r="AA250" s="1" t="s">
        <v>1639</v>
      </c>
      <c r="AB250" s="1" t="s">
        <v>1640</v>
      </c>
      <c r="AC250" s="1" t="s">
        <v>1641</v>
      </c>
      <c r="AD250" s="1" t="s">
        <v>17</v>
      </c>
      <c r="AE250" s="1" t="s">
        <v>18</v>
      </c>
      <c r="AF250" s="1" t="s">
        <v>19</v>
      </c>
      <c r="AG250" s="1" t="s">
        <v>19</v>
      </c>
      <c r="AH250" s="16">
        <v>739666.7</v>
      </c>
    </row>
    <row r="251" spans="2:34" ht="15">
      <c r="B251" s="4" t="s">
        <v>0</v>
      </c>
      <c r="C251" s="5">
        <v>43635</v>
      </c>
      <c r="D251" s="4" t="s">
        <v>1</v>
      </c>
      <c r="E251" s="4" t="s">
        <v>103</v>
      </c>
      <c r="F251" s="4" t="s">
        <v>3</v>
      </c>
      <c r="G251" s="4" t="s">
        <v>4</v>
      </c>
      <c r="H251" s="4" t="s">
        <v>23</v>
      </c>
      <c r="I251" s="5">
        <v>43634</v>
      </c>
      <c r="J251" s="6">
        <v>0.6476736111111111</v>
      </c>
      <c r="K251" s="5">
        <v>43636</v>
      </c>
      <c r="L251" s="4" t="s">
        <v>6</v>
      </c>
      <c r="M251" s="4"/>
      <c r="N251" s="4" t="s">
        <v>24</v>
      </c>
      <c r="O251" s="4" t="s">
        <v>25</v>
      </c>
      <c r="P251" s="4" t="s">
        <v>648</v>
      </c>
      <c r="Q251" s="4" t="s">
        <v>4</v>
      </c>
      <c r="R251" s="4" t="s">
        <v>4</v>
      </c>
      <c r="S251" s="4" t="s">
        <v>10</v>
      </c>
      <c r="T251" s="4"/>
      <c r="U251" s="4"/>
      <c r="V251" s="4"/>
      <c r="W251" s="4" t="s">
        <v>27</v>
      </c>
      <c r="X251" s="17">
        <v>100000</v>
      </c>
      <c r="Y251" s="17">
        <v>100000</v>
      </c>
      <c r="Z251" s="4" t="s">
        <v>1642</v>
      </c>
      <c r="AA251" s="4" t="s">
        <v>1643</v>
      </c>
      <c r="AB251" s="4" t="s">
        <v>1644</v>
      </c>
      <c r="AC251" s="4" t="s">
        <v>1645</v>
      </c>
      <c r="AD251" s="4" t="s">
        <v>17</v>
      </c>
      <c r="AE251" s="4" t="s">
        <v>18</v>
      </c>
      <c r="AF251" s="4" t="s">
        <v>19</v>
      </c>
      <c r="AG251" s="4" t="s">
        <v>19</v>
      </c>
      <c r="AH251" s="17">
        <v>37826.5</v>
      </c>
    </row>
    <row r="252" spans="2:34" ht="15">
      <c r="B252" s="1" t="s">
        <v>20</v>
      </c>
      <c r="C252" s="2">
        <v>43636</v>
      </c>
      <c r="D252" s="1" t="s">
        <v>21</v>
      </c>
      <c r="E252" s="1" t="s">
        <v>1646</v>
      </c>
      <c r="F252" s="1" t="s">
        <v>3</v>
      </c>
      <c r="G252" s="1" t="s">
        <v>4</v>
      </c>
      <c r="H252" s="1" t="s">
        <v>632</v>
      </c>
      <c r="I252" s="2">
        <v>43635</v>
      </c>
      <c r="J252" s="3">
        <v>0.5973611111111111</v>
      </c>
      <c r="K252" s="2">
        <v>43637</v>
      </c>
      <c r="L252" s="1" t="s">
        <v>6</v>
      </c>
      <c r="M252" s="1"/>
      <c r="N252" s="1" t="s">
        <v>712</v>
      </c>
      <c r="O252" s="1" t="s">
        <v>428</v>
      </c>
      <c r="P252" s="1" t="s">
        <v>713</v>
      </c>
      <c r="Q252" s="1" t="s">
        <v>4</v>
      </c>
      <c r="R252" s="1" t="s">
        <v>4</v>
      </c>
      <c r="S252" s="1" t="s">
        <v>10</v>
      </c>
      <c r="T252" s="1"/>
      <c r="U252" s="1"/>
      <c r="V252" s="1"/>
      <c r="W252" s="1" t="s">
        <v>11</v>
      </c>
      <c r="X252" s="16">
        <v>33000</v>
      </c>
      <c r="Y252" s="16">
        <v>33000</v>
      </c>
      <c r="Z252" s="1" t="s">
        <v>908</v>
      </c>
      <c r="AA252" s="1" t="s">
        <v>1648</v>
      </c>
      <c r="AB252" s="1" t="s">
        <v>1649</v>
      </c>
      <c r="AC252" s="1" t="s">
        <v>1650</v>
      </c>
      <c r="AD252" s="1" t="s">
        <v>17</v>
      </c>
      <c r="AE252" s="1" t="s">
        <v>18</v>
      </c>
      <c r="AF252" s="1" t="s">
        <v>19</v>
      </c>
      <c r="AG252" s="1" t="s">
        <v>19</v>
      </c>
      <c r="AH252" s="16">
        <v>94848.92</v>
      </c>
    </row>
    <row r="253" spans="2:34" ht="15">
      <c r="B253" s="4" t="s">
        <v>0</v>
      </c>
      <c r="C253" s="5">
        <v>43636</v>
      </c>
      <c r="D253" s="4" t="s">
        <v>1</v>
      </c>
      <c r="E253" s="4" t="s">
        <v>567</v>
      </c>
      <c r="F253" s="4" t="s">
        <v>3</v>
      </c>
      <c r="G253" s="4" t="s">
        <v>4</v>
      </c>
      <c r="H253" s="4" t="s">
        <v>109</v>
      </c>
      <c r="I253" s="5">
        <v>43635</v>
      </c>
      <c r="J253" s="6">
        <v>0.4625</v>
      </c>
      <c r="K253" s="5">
        <v>43637</v>
      </c>
      <c r="L253" s="4" t="s">
        <v>6</v>
      </c>
      <c r="M253" s="4"/>
      <c r="N253" s="4" t="s">
        <v>24</v>
      </c>
      <c r="O253" s="4" t="s">
        <v>25</v>
      </c>
      <c r="P253" s="4" t="s">
        <v>648</v>
      </c>
      <c r="Q253" s="4" t="s">
        <v>4</v>
      </c>
      <c r="R253" s="4" t="s">
        <v>4</v>
      </c>
      <c r="S253" s="4" t="s">
        <v>10</v>
      </c>
      <c r="T253" s="4"/>
      <c r="U253" s="4"/>
      <c r="V253" s="4"/>
      <c r="W253" s="4" t="s">
        <v>27</v>
      </c>
      <c r="X253" s="17">
        <v>124000</v>
      </c>
      <c r="Y253" s="17">
        <v>124000</v>
      </c>
      <c r="Z253" s="4" t="s">
        <v>1652</v>
      </c>
      <c r="AA253" s="4" t="s">
        <v>1653</v>
      </c>
      <c r="AB253" s="4" t="s">
        <v>1654</v>
      </c>
      <c r="AC253" s="4" t="s">
        <v>1655</v>
      </c>
      <c r="AD253" s="4" t="s">
        <v>17</v>
      </c>
      <c r="AE253" s="4" t="s">
        <v>18</v>
      </c>
      <c r="AF253" s="4" t="s">
        <v>19</v>
      </c>
      <c r="AG253" s="4" t="s">
        <v>19</v>
      </c>
      <c r="AH253" s="17">
        <v>46594</v>
      </c>
    </row>
    <row r="254" spans="2:34" ht="15">
      <c r="B254" s="1" t="s">
        <v>153</v>
      </c>
      <c r="C254" s="2">
        <v>43636</v>
      </c>
      <c r="D254" s="1" t="s">
        <v>154</v>
      </c>
      <c r="E254" s="1" t="s">
        <v>1656</v>
      </c>
      <c r="F254" s="1" t="s">
        <v>3</v>
      </c>
      <c r="G254" s="1" t="s">
        <v>4</v>
      </c>
      <c r="H254" s="1" t="s">
        <v>90</v>
      </c>
      <c r="I254" s="2">
        <v>43636</v>
      </c>
      <c r="J254" s="3">
        <v>0.3922453703703704</v>
      </c>
      <c r="K254" s="2">
        <v>43640</v>
      </c>
      <c r="L254" s="1" t="s">
        <v>6</v>
      </c>
      <c r="M254" s="1"/>
      <c r="N254" s="1" t="s">
        <v>260</v>
      </c>
      <c r="O254" s="1" t="s">
        <v>261</v>
      </c>
      <c r="P254" s="1" t="s">
        <v>262</v>
      </c>
      <c r="Q254" s="1" t="s">
        <v>4</v>
      </c>
      <c r="R254" s="1" t="s">
        <v>4</v>
      </c>
      <c r="S254" s="1" t="s">
        <v>10</v>
      </c>
      <c r="T254" s="1"/>
      <c r="U254" s="1"/>
      <c r="V254" s="1"/>
      <c r="W254" s="1" t="s">
        <v>27</v>
      </c>
      <c r="X254" s="16">
        <v>3000</v>
      </c>
      <c r="Y254" s="16">
        <v>3000</v>
      </c>
      <c r="Z254" s="1" t="s">
        <v>1657</v>
      </c>
      <c r="AA254" s="1" t="s">
        <v>1658</v>
      </c>
      <c r="AB254" s="1" t="s">
        <v>1659</v>
      </c>
      <c r="AC254" s="1" t="s">
        <v>1660</v>
      </c>
      <c r="AD254" s="1" t="s">
        <v>17</v>
      </c>
      <c r="AE254" s="1" t="s">
        <v>18</v>
      </c>
      <c r="AF254" s="1" t="s">
        <v>19</v>
      </c>
      <c r="AG254" s="1" t="s">
        <v>19</v>
      </c>
      <c r="AH254" s="16">
        <v>16022.98</v>
      </c>
    </row>
    <row r="255" spans="2:34" ht="15">
      <c r="B255" s="4" t="s">
        <v>0</v>
      </c>
      <c r="C255" s="5">
        <v>43637</v>
      </c>
      <c r="D255" s="4" t="s">
        <v>1</v>
      </c>
      <c r="E255" s="4" t="s">
        <v>574</v>
      </c>
      <c r="F255" s="4" t="s">
        <v>3</v>
      </c>
      <c r="G255" s="4" t="s">
        <v>4</v>
      </c>
      <c r="H255" s="4" t="s">
        <v>119</v>
      </c>
      <c r="I255" s="5">
        <v>43636</v>
      </c>
      <c r="J255" s="6"/>
      <c r="K255" s="5">
        <v>43640</v>
      </c>
      <c r="L255" s="4" t="s">
        <v>6</v>
      </c>
      <c r="M255" s="4"/>
      <c r="N255" s="4" t="s">
        <v>110</v>
      </c>
      <c r="O255" s="4" t="s">
        <v>1661</v>
      </c>
      <c r="P255" s="4" t="s">
        <v>112</v>
      </c>
      <c r="Q255" s="4" t="s">
        <v>4</v>
      </c>
      <c r="R255" s="4" t="s">
        <v>4</v>
      </c>
      <c r="S255" s="4" t="s">
        <v>10</v>
      </c>
      <c r="T255" s="4"/>
      <c r="U255" s="4"/>
      <c r="V255" s="4"/>
      <c r="W255" s="4" t="s">
        <v>11</v>
      </c>
      <c r="X255" s="17">
        <v>58000</v>
      </c>
      <c r="Y255" s="17">
        <v>58000</v>
      </c>
      <c r="Z255" s="4" t="s">
        <v>121</v>
      </c>
      <c r="AA255" s="4" t="s">
        <v>1663</v>
      </c>
      <c r="AB255" s="4" t="s">
        <v>1664</v>
      </c>
      <c r="AC255" s="4" t="s">
        <v>1665</v>
      </c>
      <c r="AD255" s="4" t="s">
        <v>17</v>
      </c>
      <c r="AE255" s="4" t="s">
        <v>18</v>
      </c>
      <c r="AF255" s="4" t="s">
        <v>19</v>
      </c>
      <c r="AG255" s="4" t="s">
        <v>19</v>
      </c>
      <c r="AH255" s="17">
        <v>162074.2</v>
      </c>
    </row>
    <row r="256" spans="2:34" ht="15">
      <c r="B256" s="1" t="s">
        <v>153</v>
      </c>
      <c r="C256" s="2">
        <v>43637</v>
      </c>
      <c r="D256" s="1" t="s">
        <v>154</v>
      </c>
      <c r="E256" s="1" t="s">
        <v>1666</v>
      </c>
      <c r="F256" s="1" t="s">
        <v>3</v>
      </c>
      <c r="G256" s="1" t="s">
        <v>4</v>
      </c>
      <c r="H256" s="1" t="s">
        <v>119</v>
      </c>
      <c r="I256" s="2">
        <v>43636</v>
      </c>
      <c r="J256" s="3">
        <v>0.6808564814814815</v>
      </c>
      <c r="K256" s="2">
        <v>43640</v>
      </c>
      <c r="L256" s="1" t="s">
        <v>6</v>
      </c>
      <c r="M256" s="1"/>
      <c r="N256" s="1" t="s">
        <v>450</v>
      </c>
      <c r="O256" s="1" t="s">
        <v>451</v>
      </c>
      <c r="P256" s="1" t="s">
        <v>452</v>
      </c>
      <c r="Q256" s="1" t="s">
        <v>4</v>
      </c>
      <c r="R256" s="1" t="s">
        <v>4</v>
      </c>
      <c r="S256" s="1" t="s">
        <v>10</v>
      </c>
      <c r="T256" s="1"/>
      <c r="U256" s="1"/>
      <c r="V256" s="1"/>
      <c r="W256" s="1" t="s">
        <v>27</v>
      </c>
      <c r="X256" s="16">
        <v>4409</v>
      </c>
      <c r="Y256" s="16">
        <v>4409</v>
      </c>
      <c r="Z256" s="1" t="s">
        <v>1668</v>
      </c>
      <c r="AA256" s="1" t="s">
        <v>1669</v>
      </c>
      <c r="AB256" s="1" t="s">
        <v>1670</v>
      </c>
      <c r="AC256" s="1" t="s">
        <v>1671</v>
      </c>
      <c r="AD256" s="1" t="s">
        <v>17</v>
      </c>
      <c r="AE256" s="1" t="s">
        <v>18</v>
      </c>
      <c r="AF256" s="1" t="s">
        <v>19</v>
      </c>
      <c r="AG256" s="1" t="s">
        <v>19</v>
      </c>
      <c r="AH256" s="16">
        <v>26965.22727</v>
      </c>
    </row>
    <row r="257" spans="2:34" ht="15">
      <c r="B257" s="4" t="s">
        <v>20</v>
      </c>
      <c r="C257" s="5">
        <v>43641</v>
      </c>
      <c r="D257" s="4" t="s">
        <v>21</v>
      </c>
      <c r="E257" s="4" t="s">
        <v>1672</v>
      </c>
      <c r="F257" s="4" t="s">
        <v>3</v>
      </c>
      <c r="G257" s="4" t="s">
        <v>4</v>
      </c>
      <c r="H257" s="4" t="s">
        <v>632</v>
      </c>
      <c r="I257" s="5">
        <v>43640</v>
      </c>
      <c r="J257" s="6">
        <v>0.6887268518518519</v>
      </c>
      <c r="K257" s="5">
        <v>43642</v>
      </c>
      <c r="L257" s="4" t="s">
        <v>6</v>
      </c>
      <c r="M257" s="4"/>
      <c r="N257" s="4" t="s">
        <v>712</v>
      </c>
      <c r="O257" s="4" t="s">
        <v>428</v>
      </c>
      <c r="P257" s="4" t="s">
        <v>713</v>
      </c>
      <c r="Q257" s="4" t="s">
        <v>4</v>
      </c>
      <c r="R257" s="4" t="s">
        <v>4</v>
      </c>
      <c r="S257" s="4" t="s">
        <v>10</v>
      </c>
      <c r="T257" s="4"/>
      <c r="U257" s="4"/>
      <c r="V257" s="4"/>
      <c r="W257" s="4" t="s">
        <v>11</v>
      </c>
      <c r="X257" s="17">
        <v>5000</v>
      </c>
      <c r="Y257" s="17">
        <v>5000</v>
      </c>
      <c r="Z257" s="4" t="s">
        <v>114</v>
      </c>
      <c r="AA257" s="4" t="s">
        <v>1165</v>
      </c>
      <c r="AB257" s="4" t="s">
        <v>1166</v>
      </c>
      <c r="AC257" s="4" t="s">
        <v>1167</v>
      </c>
      <c r="AD257" s="4" t="s">
        <v>17</v>
      </c>
      <c r="AE257" s="4" t="s">
        <v>18</v>
      </c>
      <c r="AF257" s="4" t="s">
        <v>19</v>
      </c>
      <c r="AG257" s="4" t="s">
        <v>19</v>
      </c>
      <c r="AH257" s="17">
        <v>14220.5</v>
      </c>
    </row>
    <row r="258" spans="2:34" ht="15">
      <c r="B258" s="1" t="s">
        <v>20</v>
      </c>
      <c r="C258" s="2">
        <v>43643</v>
      </c>
      <c r="D258" s="1" t="s">
        <v>21</v>
      </c>
      <c r="E258" s="1" t="s">
        <v>1673</v>
      </c>
      <c r="F258" s="1" t="s">
        <v>3</v>
      </c>
      <c r="G258" s="1" t="s">
        <v>4</v>
      </c>
      <c r="H258" s="1" t="s">
        <v>632</v>
      </c>
      <c r="I258" s="2">
        <v>43642</v>
      </c>
      <c r="J258" s="3">
        <v>0.6244791666666667</v>
      </c>
      <c r="K258" s="2">
        <v>43644</v>
      </c>
      <c r="L258" s="1" t="s">
        <v>6</v>
      </c>
      <c r="M258" s="1"/>
      <c r="N258" s="1" t="s">
        <v>712</v>
      </c>
      <c r="O258" s="1" t="s">
        <v>428</v>
      </c>
      <c r="P258" s="1" t="s">
        <v>713</v>
      </c>
      <c r="Q258" s="1" t="s">
        <v>4</v>
      </c>
      <c r="R258" s="1" t="s">
        <v>4</v>
      </c>
      <c r="S258" s="1" t="s">
        <v>10</v>
      </c>
      <c r="T258" s="1"/>
      <c r="U258" s="1"/>
      <c r="V258" s="1"/>
      <c r="W258" s="1" t="s">
        <v>11</v>
      </c>
      <c r="X258" s="16">
        <v>10000</v>
      </c>
      <c r="Y258" s="16">
        <v>10000</v>
      </c>
      <c r="Z258" s="1" t="s">
        <v>121</v>
      </c>
      <c r="AA258" s="1" t="s">
        <v>1674</v>
      </c>
      <c r="AB258" s="1" t="s">
        <v>1675</v>
      </c>
      <c r="AC258" s="1" t="s">
        <v>1676</v>
      </c>
      <c r="AD258" s="1" t="s">
        <v>17</v>
      </c>
      <c r="AE258" s="1" t="s">
        <v>18</v>
      </c>
      <c r="AF258" s="1" t="s">
        <v>19</v>
      </c>
      <c r="AG258" s="1" t="s">
        <v>19</v>
      </c>
      <c r="AH258" s="16">
        <v>27943</v>
      </c>
    </row>
    <row r="259" spans="2:34" ht="15">
      <c r="B259" s="4" t="s">
        <v>20</v>
      </c>
      <c r="C259" s="5">
        <v>43643</v>
      </c>
      <c r="D259" s="4" t="s">
        <v>21</v>
      </c>
      <c r="E259" s="4" t="s">
        <v>1677</v>
      </c>
      <c r="F259" s="4" t="s">
        <v>3</v>
      </c>
      <c r="G259" s="4" t="s">
        <v>4</v>
      </c>
      <c r="H259" s="4" t="s">
        <v>632</v>
      </c>
      <c r="I259" s="5">
        <v>43642</v>
      </c>
      <c r="J259" s="6">
        <v>0.6906712962962963</v>
      </c>
      <c r="K259" s="5">
        <v>43644</v>
      </c>
      <c r="L259" s="4" t="s">
        <v>6</v>
      </c>
      <c r="M259" s="4"/>
      <c r="N259" s="4" t="s">
        <v>712</v>
      </c>
      <c r="O259" s="4" t="s">
        <v>428</v>
      </c>
      <c r="P259" s="4" t="s">
        <v>713</v>
      </c>
      <c r="Q259" s="4" t="s">
        <v>4</v>
      </c>
      <c r="R259" s="4" t="s">
        <v>4</v>
      </c>
      <c r="S259" s="4" t="s">
        <v>10</v>
      </c>
      <c r="T259" s="4"/>
      <c r="U259" s="4"/>
      <c r="V259" s="4"/>
      <c r="W259" s="4" t="s">
        <v>11</v>
      </c>
      <c r="X259" s="17">
        <v>10000</v>
      </c>
      <c r="Y259" s="17">
        <v>10000</v>
      </c>
      <c r="Z259" s="4" t="s">
        <v>121</v>
      </c>
      <c r="AA259" s="4" t="s">
        <v>1674</v>
      </c>
      <c r="AB259" s="4" t="s">
        <v>1675</v>
      </c>
      <c r="AC259" s="4" t="s">
        <v>1676</v>
      </c>
      <c r="AD259" s="4" t="s">
        <v>17</v>
      </c>
      <c r="AE259" s="4" t="s">
        <v>18</v>
      </c>
      <c r="AF259" s="4" t="s">
        <v>19</v>
      </c>
      <c r="AG259" s="4" t="s">
        <v>19</v>
      </c>
      <c r="AH259" s="17">
        <v>27943</v>
      </c>
    </row>
    <row r="260" spans="2:34" ht="15">
      <c r="B260" s="1" t="s">
        <v>20</v>
      </c>
      <c r="C260" s="2">
        <v>43643</v>
      </c>
      <c r="D260" s="1" t="s">
        <v>21</v>
      </c>
      <c r="E260" s="1" t="s">
        <v>1678</v>
      </c>
      <c r="F260" s="1" t="s">
        <v>3</v>
      </c>
      <c r="G260" s="1" t="s">
        <v>4</v>
      </c>
      <c r="H260" s="1" t="s">
        <v>632</v>
      </c>
      <c r="I260" s="2">
        <v>43643</v>
      </c>
      <c r="J260" s="3">
        <v>0.4002662037037037</v>
      </c>
      <c r="K260" s="2">
        <v>43647</v>
      </c>
      <c r="L260" s="1" t="s">
        <v>6</v>
      </c>
      <c r="M260" s="1"/>
      <c r="N260" s="1" t="s">
        <v>827</v>
      </c>
      <c r="O260" s="1" t="s">
        <v>359</v>
      </c>
      <c r="P260" s="1" t="s">
        <v>360</v>
      </c>
      <c r="Q260" s="1" t="s">
        <v>4</v>
      </c>
      <c r="R260" s="1" t="s">
        <v>4</v>
      </c>
      <c r="S260" s="1" t="s">
        <v>10</v>
      </c>
      <c r="T260" s="1"/>
      <c r="U260" s="1"/>
      <c r="V260" s="1"/>
      <c r="W260" s="1" t="s">
        <v>11</v>
      </c>
      <c r="X260" s="16">
        <v>1502048</v>
      </c>
      <c r="Y260" s="16">
        <v>1502048</v>
      </c>
      <c r="Z260" s="1" t="s">
        <v>1680</v>
      </c>
      <c r="AA260" s="1" t="s">
        <v>1681</v>
      </c>
      <c r="AB260" s="1" t="s">
        <v>1682</v>
      </c>
      <c r="AC260" s="1" t="s">
        <v>1683</v>
      </c>
      <c r="AD260" s="1" t="s">
        <v>17</v>
      </c>
      <c r="AE260" s="1" t="s">
        <v>18</v>
      </c>
      <c r="AF260" s="1" t="s">
        <v>19</v>
      </c>
      <c r="AG260" s="1" t="s">
        <v>19</v>
      </c>
      <c r="AH260" s="16">
        <v>6400916.47</v>
      </c>
    </row>
    <row r="261" spans="2:34" ht="15">
      <c r="B261" s="4" t="s">
        <v>0</v>
      </c>
      <c r="C261" s="5">
        <v>43643</v>
      </c>
      <c r="D261" s="4" t="s">
        <v>1</v>
      </c>
      <c r="E261" s="4" t="s">
        <v>660</v>
      </c>
      <c r="F261" s="4" t="s">
        <v>3</v>
      </c>
      <c r="G261" s="4" t="s">
        <v>4</v>
      </c>
      <c r="H261" s="4" t="s">
        <v>632</v>
      </c>
      <c r="I261" s="5">
        <v>43643</v>
      </c>
      <c r="J261" s="6">
        <v>0.4002662037037037</v>
      </c>
      <c r="K261" s="5">
        <v>43647</v>
      </c>
      <c r="L261" s="4" t="s">
        <v>6</v>
      </c>
      <c r="M261" s="4"/>
      <c r="N261" s="4" t="s">
        <v>827</v>
      </c>
      <c r="O261" s="4" t="s">
        <v>359</v>
      </c>
      <c r="P261" s="4" t="s">
        <v>360</v>
      </c>
      <c r="Q261" s="4" t="s">
        <v>4</v>
      </c>
      <c r="R261" s="4" t="s">
        <v>4</v>
      </c>
      <c r="S261" s="4" t="s">
        <v>10</v>
      </c>
      <c r="T261" s="4"/>
      <c r="U261" s="4"/>
      <c r="V261" s="4"/>
      <c r="W261" s="4" t="s">
        <v>11</v>
      </c>
      <c r="X261" s="17">
        <v>312633</v>
      </c>
      <c r="Y261" s="17">
        <v>312633</v>
      </c>
      <c r="Z261" s="4" t="s">
        <v>1680</v>
      </c>
      <c r="AA261" s="4" t="s">
        <v>1685</v>
      </c>
      <c r="AB261" s="4" t="s">
        <v>1686</v>
      </c>
      <c r="AC261" s="4" t="s">
        <v>1687</v>
      </c>
      <c r="AD261" s="4" t="s">
        <v>17</v>
      </c>
      <c r="AE261" s="4" t="s">
        <v>18</v>
      </c>
      <c r="AF261" s="4" t="s">
        <v>19</v>
      </c>
      <c r="AG261" s="4" t="s">
        <v>19</v>
      </c>
      <c r="AH261" s="17">
        <v>1332272.024</v>
      </c>
    </row>
    <row r="262" spans="2:34" ht="15">
      <c r="B262" s="1" t="s">
        <v>153</v>
      </c>
      <c r="C262" s="2">
        <v>43643</v>
      </c>
      <c r="D262" s="1" t="s">
        <v>154</v>
      </c>
      <c r="E262" s="1" t="s">
        <v>1688</v>
      </c>
      <c r="F262" s="1" t="s">
        <v>3</v>
      </c>
      <c r="G262" s="1" t="s">
        <v>4</v>
      </c>
      <c r="H262" s="1" t="s">
        <v>632</v>
      </c>
      <c r="I262" s="2">
        <v>43643</v>
      </c>
      <c r="J262" s="3">
        <v>0.4002662037037037</v>
      </c>
      <c r="K262" s="2">
        <v>43647</v>
      </c>
      <c r="L262" s="1" t="s">
        <v>6</v>
      </c>
      <c r="M262" s="1"/>
      <c r="N262" s="1" t="s">
        <v>827</v>
      </c>
      <c r="O262" s="1" t="s">
        <v>359</v>
      </c>
      <c r="P262" s="1" t="s">
        <v>360</v>
      </c>
      <c r="Q262" s="1" t="s">
        <v>4</v>
      </c>
      <c r="R262" s="1" t="s">
        <v>4</v>
      </c>
      <c r="S262" s="1" t="s">
        <v>10</v>
      </c>
      <c r="T262" s="1"/>
      <c r="U262" s="1"/>
      <c r="V262" s="1"/>
      <c r="W262" s="1" t="s">
        <v>11</v>
      </c>
      <c r="X262" s="16">
        <v>8500</v>
      </c>
      <c r="Y262" s="16">
        <v>8500</v>
      </c>
      <c r="Z262" s="1" t="s">
        <v>1680</v>
      </c>
      <c r="AA262" s="1" t="s">
        <v>1690</v>
      </c>
      <c r="AB262" s="1" t="s">
        <v>1691</v>
      </c>
      <c r="AC262" s="1" t="s">
        <v>1692</v>
      </c>
      <c r="AD262" s="1" t="s">
        <v>17</v>
      </c>
      <c r="AE262" s="1" t="s">
        <v>18</v>
      </c>
      <c r="AF262" s="1" t="s">
        <v>19</v>
      </c>
      <c r="AG262" s="1" t="s">
        <v>19</v>
      </c>
      <c r="AH262" s="16">
        <v>36221.41</v>
      </c>
    </row>
    <row r="263" spans="2:34" ht="15">
      <c r="B263" s="4" t="s">
        <v>0</v>
      </c>
      <c r="C263" s="5">
        <v>43644</v>
      </c>
      <c r="D263" s="4" t="s">
        <v>1</v>
      </c>
      <c r="E263" s="4" t="s">
        <v>850</v>
      </c>
      <c r="F263" s="4" t="s">
        <v>3</v>
      </c>
      <c r="G263" s="4" t="s">
        <v>4</v>
      </c>
      <c r="H263" s="4" t="s">
        <v>325</v>
      </c>
      <c r="I263" s="5">
        <v>43644</v>
      </c>
      <c r="J263" s="6">
        <v>0.44583333333333336</v>
      </c>
      <c r="K263" s="5">
        <v>43648</v>
      </c>
      <c r="L263" s="4" t="s">
        <v>6</v>
      </c>
      <c r="M263" s="4"/>
      <c r="N263" s="4" t="s">
        <v>250</v>
      </c>
      <c r="O263" s="4" t="s">
        <v>251</v>
      </c>
      <c r="P263" s="4" t="s">
        <v>252</v>
      </c>
      <c r="Q263" s="4" t="s">
        <v>4</v>
      </c>
      <c r="R263" s="4" t="s">
        <v>4</v>
      </c>
      <c r="S263" s="4" t="s">
        <v>10</v>
      </c>
      <c r="T263" s="4"/>
      <c r="U263" s="4"/>
      <c r="V263" s="4"/>
      <c r="W263" s="4" t="s">
        <v>11</v>
      </c>
      <c r="X263" s="17">
        <v>215758</v>
      </c>
      <c r="Y263" s="17">
        <v>215758</v>
      </c>
      <c r="Z263" s="4" t="s">
        <v>1694</v>
      </c>
      <c r="AA263" s="4" t="s">
        <v>1695</v>
      </c>
      <c r="AB263" s="4" t="s">
        <v>1696</v>
      </c>
      <c r="AC263" s="4" t="s">
        <v>1697</v>
      </c>
      <c r="AD263" s="4" t="s">
        <v>17</v>
      </c>
      <c r="AE263" s="4" t="s">
        <v>18</v>
      </c>
      <c r="AF263" s="4" t="s">
        <v>19</v>
      </c>
      <c r="AG263" s="4" t="s">
        <v>19</v>
      </c>
      <c r="AH263" s="17">
        <v>409846.9078</v>
      </c>
    </row>
    <row r="264" spans="2:34" ht="15">
      <c r="B264" s="1" t="s">
        <v>153</v>
      </c>
      <c r="C264" s="2">
        <v>43644</v>
      </c>
      <c r="D264" s="1" t="s">
        <v>154</v>
      </c>
      <c r="E264" s="1" t="s">
        <v>1698</v>
      </c>
      <c r="F264" s="1" t="s">
        <v>3</v>
      </c>
      <c r="G264" s="1" t="s">
        <v>4</v>
      </c>
      <c r="H264" s="1" t="s">
        <v>325</v>
      </c>
      <c r="I264" s="2">
        <v>43644</v>
      </c>
      <c r="J264" s="3">
        <v>0.44583333333333336</v>
      </c>
      <c r="K264" s="2">
        <v>43648</v>
      </c>
      <c r="L264" s="1" t="s">
        <v>6</v>
      </c>
      <c r="M264" s="1"/>
      <c r="N264" s="1" t="s">
        <v>250</v>
      </c>
      <c r="O264" s="1" t="s">
        <v>251</v>
      </c>
      <c r="P264" s="1" t="s">
        <v>252</v>
      </c>
      <c r="Q264" s="1" t="s">
        <v>4</v>
      </c>
      <c r="R264" s="1" t="s">
        <v>4</v>
      </c>
      <c r="S264" s="1" t="s">
        <v>10</v>
      </c>
      <c r="T264" s="1"/>
      <c r="U264" s="1"/>
      <c r="V264" s="1"/>
      <c r="W264" s="1" t="s">
        <v>11</v>
      </c>
      <c r="X264" s="16">
        <v>19422</v>
      </c>
      <c r="Y264" s="16">
        <v>19422</v>
      </c>
      <c r="Z264" s="1" t="s">
        <v>1694</v>
      </c>
      <c r="AA264" s="1" t="s">
        <v>1700</v>
      </c>
      <c r="AB264" s="1" t="s">
        <v>1701</v>
      </c>
      <c r="AC264" s="1" t="s">
        <v>1702</v>
      </c>
      <c r="AD264" s="1" t="s">
        <v>17</v>
      </c>
      <c r="AE264" s="1" t="s">
        <v>18</v>
      </c>
      <c r="AF264" s="1" t="s">
        <v>19</v>
      </c>
      <c r="AG264" s="1" t="s">
        <v>19</v>
      </c>
      <c r="AH264" s="16">
        <v>36892.50208</v>
      </c>
    </row>
    <row r="265" spans="2:34" ht="15">
      <c r="B265" s="4" t="s">
        <v>0</v>
      </c>
      <c r="C265" s="5">
        <v>43642</v>
      </c>
      <c r="D265" s="4" t="s">
        <v>1</v>
      </c>
      <c r="E265" s="4" t="s">
        <v>614</v>
      </c>
      <c r="F265" s="4" t="s">
        <v>3</v>
      </c>
      <c r="G265" s="4" t="s">
        <v>4</v>
      </c>
      <c r="H265" s="4" t="s">
        <v>119</v>
      </c>
      <c r="I265" s="5">
        <v>43641</v>
      </c>
      <c r="J265" s="6">
        <v>0.5622685185185186</v>
      </c>
      <c r="K265" s="5">
        <v>43643</v>
      </c>
      <c r="L265" s="4" t="s">
        <v>6</v>
      </c>
      <c r="M265" s="4"/>
      <c r="N265" s="4" t="s">
        <v>110</v>
      </c>
      <c r="O265" s="4" t="s">
        <v>111</v>
      </c>
      <c r="P265" s="4" t="s">
        <v>112</v>
      </c>
      <c r="Q265" s="4" t="s">
        <v>4</v>
      </c>
      <c r="R265" s="4" t="s">
        <v>4</v>
      </c>
      <c r="S265" s="4" t="s">
        <v>4</v>
      </c>
      <c r="T265" s="4"/>
      <c r="U265" s="4"/>
      <c r="V265" s="4"/>
      <c r="W265" s="4" t="s">
        <v>11</v>
      </c>
      <c r="X265" s="17">
        <v>17430</v>
      </c>
      <c r="Y265" s="17">
        <v>17430</v>
      </c>
      <c r="Z265" s="4" t="s">
        <v>121</v>
      </c>
      <c r="AA265" s="4" t="s">
        <v>1704</v>
      </c>
      <c r="AB265" s="4" t="s">
        <v>1705</v>
      </c>
      <c r="AC265" s="4" t="s">
        <v>1706</v>
      </c>
      <c r="AD265" s="4" t="s">
        <v>17</v>
      </c>
      <c r="AE265" s="4" t="s">
        <v>18</v>
      </c>
      <c r="AF265" s="4" t="s">
        <v>19</v>
      </c>
      <c r="AG265" s="4" t="s">
        <v>19</v>
      </c>
      <c r="AH265" s="17">
        <v>48705.392</v>
      </c>
    </row>
    <row r="266" spans="2:34" ht="15">
      <c r="B266" s="1" t="s">
        <v>0</v>
      </c>
      <c r="C266" s="2">
        <v>43642</v>
      </c>
      <c r="D266" s="1" t="s">
        <v>1</v>
      </c>
      <c r="E266" s="1" t="s">
        <v>620</v>
      </c>
      <c r="F266" s="1" t="s">
        <v>3</v>
      </c>
      <c r="G266" s="1" t="s">
        <v>4</v>
      </c>
      <c r="H266" s="1" t="s">
        <v>119</v>
      </c>
      <c r="I266" s="2">
        <v>43642</v>
      </c>
      <c r="J266" s="3">
        <v>0.3552199074074074</v>
      </c>
      <c r="K266" s="2">
        <v>43644</v>
      </c>
      <c r="L266" s="1" t="s">
        <v>6</v>
      </c>
      <c r="M266" s="1"/>
      <c r="N266" s="1" t="s">
        <v>110</v>
      </c>
      <c r="O266" s="1" t="s">
        <v>111</v>
      </c>
      <c r="P266" s="1" t="s">
        <v>112</v>
      </c>
      <c r="Q266" s="1" t="s">
        <v>4</v>
      </c>
      <c r="R266" s="1" t="s">
        <v>4</v>
      </c>
      <c r="S266" s="1" t="s">
        <v>4</v>
      </c>
      <c r="T266" s="1"/>
      <c r="U266" s="1"/>
      <c r="V266" s="1"/>
      <c r="W266" s="1" t="s">
        <v>11</v>
      </c>
      <c r="X266" s="16">
        <v>108739</v>
      </c>
      <c r="Y266" s="16">
        <v>108739</v>
      </c>
      <c r="Z266" s="1" t="s">
        <v>347</v>
      </c>
      <c r="AA266" s="1" t="s">
        <v>1708</v>
      </c>
      <c r="AB266" s="1" t="s">
        <v>1709</v>
      </c>
      <c r="AC266" s="1" t="s">
        <v>1710</v>
      </c>
      <c r="AD266" s="1" t="s">
        <v>17</v>
      </c>
      <c r="AE266" s="1" t="s">
        <v>18</v>
      </c>
      <c r="AF266" s="1" t="s">
        <v>19</v>
      </c>
      <c r="AG266" s="1" t="s">
        <v>19</v>
      </c>
      <c r="AH266" s="16">
        <v>298433.1855</v>
      </c>
    </row>
    <row r="267" spans="2:34" ht="15">
      <c r="B267" s="4" t="s">
        <v>0</v>
      </c>
      <c r="C267" s="5">
        <v>43616</v>
      </c>
      <c r="D267" s="4" t="s">
        <v>1</v>
      </c>
      <c r="E267" s="4" t="s">
        <v>1314</v>
      </c>
      <c r="F267" s="4" t="s">
        <v>3</v>
      </c>
      <c r="G267" s="4" t="s">
        <v>4</v>
      </c>
      <c r="H267" s="4" t="s">
        <v>119</v>
      </c>
      <c r="I267" s="5">
        <v>43616</v>
      </c>
      <c r="J267" s="6">
        <v>0.3701388888888889</v>
      </c>
      <c r="K267" s="5">
        <v>43620</v>
      </c>
      <c r="L267" s="4" t="s">
        <v>6</v>
      </c>
      <c r="M267" s="4"/>
      <c r="N267" s="4" t="s">
        <v>194</v>
      </c>
      <c r="O267" s="4" t="s">
        <v>195</v>
      </c>
      <c r="P267" s="4" t="s">
        <v>196</v>
      </c>
      <c r="Q267" s="4" t="s">
        <v>4</v>
      </c>
      <c r="R267" s="4" t="s">
        <v>4</v>
      </c>
      <c r="S267" s="4" t="s">
        <v>10</v>
      </c>
      <c r="T267" s="4"/>
      <c r="U267" s="4"/>
      <c r="V267" s="4"/>
      <c r="W267" s="4" t="s">
        <v>27</v>
      </c>
      <c r="X267" s="17">
        <v>29600</v>
      </c>
      <c r="Y267" s="17">
        <v>29600</v>
      </c>
      <c r="Z267" s="4" t="s">
        <v>1316</v>
      </c>
      <c r="AA267" s="4" t="s">
        <v>1317</v>
      </c>
      <c r="AB267" s="4" t="s">
        <v>1318</v>
      </c>
      <c r="AC267" s="4" t="s">
        <v>1319</v>
      </c>
      <c r="AD267" s="4" t="s">
        <v>17</v>
      </c>
      <c r="AE267" s="4" t="s">
        <v>1320</v>
      </c>
      <c r="AF267" s="4" t="s">
        <v>19</v>
      </c>
      <c r="AG267" s="4" t="s">
        <v>19</v>
      </c>
      <c r="AH267" s="17">
        <v>91211.51677</v>
      </c>
    </row>
    <row r="268" spans="2:34" ht="15">
      <c r="B268" s="1" t="s">
        <v>0</v>
      </c>
      <c r="C268" s="2">
        <v>43616</v>
      </c>
      <c r="D268" s="1" t="s">
        <v>1</v>
      </c>
      <c r="E268" s="1" t="s">
        <v>1321</v>
      </c>
      <c r="F268" s="1" t="s">
        <v>3</v>
      </c>
      <c r="G268" s="1" t="s">
        <v>4</v>
      </c>
      <c r="H268" s="1" t="s">
        <v>119</v>
      </c>
      <c r="I268" s="2">
        <v>43616</v>
      </c>
      <c r="J268" s="3">
        <v>0.38394675925925925</v>
      </c>
      <c r="K268" s="2">
        <v>43620</v>
      </c>
      <c r="L268" s="1" t="s">
        <v>6</v>
      </c>
      <c r="M268" s="1"/>
      <c r="N268" s="1" t="s">
        <v>214</v>
      </c>
      <c r="O268" s="1" t="s">
        <v>215</v>
      </c>
      <c r="P268" s="1" t="s">
        <v>216</v>
      </c>
      <c r="Q268" s="1" t="s">
        <v>4</v>
      </c>
      <c r="R268" s="1" t="s">
        <v>4</v>
      </c>
      <c r="S268" s="1" t="s">
        <v>10</v>
      </c>
      <c r="T268" s="1"/>
      <c r="U268" s="1"/>
      <c r="V268" s="1"/>
      <c r="W268" s="1" t="s">
        <v>27</v>
      </c>
      <c r="X268" s="16">
        <v>49000</v>
      </c>
      <c r="Y268" s="16">
        <v>49000</v>
      </c>
      <c r="Z268" s="1" t="s">
        <v>1323</v>
      </c>
      <c r="AA268" s="1" t="s">
        <v>1324</v>
      </c>
      <c r="AB268" s="1" t="s">
        <v>1325</v>
      </c>
      <c r="AC268" s="1" t="s">
        <v>1326</v>
      </c>
      <c r="AD268" s="1" t="s">
        <v>17</v>
      </c>
      <c r="AE268" s="1" t="s">
        <v>1327</v>
      </c>
      <c r="AF268" s="1" t="s">
        <v>19</v>
      </c>
      <c r="AG268" s="1" t="s">
        <v>19</v>
      </c>
      <c r="AH268" s="16">
        <v>96714.24</v>
      </c>
    </row>
    <row r="269" spans="2:34" ht="15">
      <c r="B269" s="4" t="s">
        <v>0</v>
      </c>
      <c r="C269" s="5">
        <v>43616</v>
      </c>
      <c r="D269" s="4" t="s">
        <v>1</v>
      </c>
      <c r="E269" s="4" t="s">
        <v>1328</v>
      </c>
      <c r="F269" s="4" t="s">
        <v>3</v>
      </c>
      <c r="G269" s="4" t="s">
        <v>4</v>
      </c>
      <c r="H269" s="4" t="s">
        <v>119</v>
      </c>
      <c r="I269" s="5">
        <v>43616</v>
      </c>
      <c r="J269" s="6">
        <v>0.35439814814814813</v>
      </c>
      <c r="K269" s="5">
        <v>43620</v>
      </c>
      <c r="L269" s="4" t="s">
        <v>6</v>
      </c>
      <c r="M269" s="4"/>
      <c r="N269" s="4" t="s">
        <v>663</v>
      </c>
      <c r="O269" s="4" t="s">
        <v>664</v>
      </c>
      <c r="P269" s="4" t="s">
        <v>665</v>
      </c>
      <c r="Q269" s="4" t="s">
        <v>4</v>
      </c>
      <c r="R269" s="4" t="s">
        <v>4</v>
      </c>
      <c r="S269" s="4" t="s">
        <v>10</v>
      </c>
      <c r="T269" s="4"/>
      <c r="U269" s="4"/>
      <c r="V269" s="4"/>
      <c r="W269" s="4" t="s">
        <v>27</v>
      </c>
      <c r="X269" s="17">
        <v>44000</v>
      </c>
      <c r="Y269" s="17">
        <v>44000</v>
      </c>
      <c r="Z269" s="4" t="s">
        <v>1330</v>
      </c>
      <c r="AA269" s="4" t="s">
        <v>1331</v>
      </c>
      <c r="AB269" s="4" t="s">
        <v>1332</v>
      </c>
      <c r="AC269" s="4" t="s">
        <v>1333</v>
      </c>
      <c r="AD269" s="4" t="s">
        <v>17</v>
      </c>
      <c r="AE269" s="4" t="s">
        <v>1334</v>
      </c>
      <c r="AF269" s="4" t="s">
        <v>19</v>
      </c>
      <c r="AG269" s="4" t="s">
        <v>19</v>
      </c>
      <c r="AH269" s="17">
        <v>115646.03</v>
      </c>
    </row>
    <row r="270" spans="2:34" ht="15">
      <c r="B270" s="1" t="s">
        <v>0</v>
      </c>
      <c r="C270" s="2">
        <v>43616</v>
      </c>
      <c r="D270" s="1" t="s">
        <v>1</v>
      </c>
      <c r="E270" s="1" t="s">
        <v>1340</v>
      </c>
      <c r="F270" s="1" t="s">
        <v>3</v>
      </c>
      <c r="G270" s="1" t="s">
        <v>4</v>
      </c>
      <c r="H270" s="1" t="s">
        <v>119</v>
      </c>
      <c r="I270" s="2">
        <v>43616</v>
      </c>
      <c r="J270" s="3">
        <v>0.37081018518518516</v>
      </c>
      <c r="K270" s="2">
        <v>43620</v>
      </c>
      <c r="L270" s="1" t="s">
        <v>6</v>
      </c>
      <c r="M270" s="1"/>
      <c r="N270" s="1" t="s">
        <v>136</v>
      </c>
      <c r="O270" s="1" t="s">
        <v>137</v>
      </c>
      <c r="P270" s="1" t="s">
        <v>138</v>
      </c>
      <c r="Q270" s="1" t="s">
        <v>4</v>
      </c>
      <c r="R270" s="1" t="s">
        <v>4</v>
      </c>
      <c r="S270" s="1" t="s">
        <v>10</v>
      </c>
      <c r="T270" s="1"/>
      <c r="U270" s="1"/>
      <c r="V270" s="1"/>
      <c r="W270" s="1" t="s">
        <v>27</v>
      </c>
      <c r="X270" s="16">
        <v>61000</v>
      </c>
      <c r="Y270" s="16">
        <v>61000</v>
      </c>
      <c r="Z270" s="1" t="s">
        <v>1342</v>
      </c>
      <c r="AA270" s="1" t="s">
        <v>1343</v>
      </c>
      <c r="AB270" s="1" t="s">
        <v>1344</v>
      </c>
      <c r="AC270" s="1" t="s">
        <v>1345</v>
      </c>
      <c r="AD270" s="1" t="s">
        <v>17</v>
      </c>
      <c r="AE270" s="1" t="s">
        <v>17</v>
      </c>
      <c r="AF270" s="1" t="s">
        <v>19</v>
      </c>
      <c r="AG270" s="1" t="s">
        <v>19</v>
      </c>
      <c r="AH270" s="16">
        <v>215056.842</v>
      </c>
    </row>
    <row r="271" spans="2:34" ht="15">
      <c r="B271" s="4" t="s">
        <v>0</v>
      </c>
      <c r="C271" s="5">
        <v>43616</v>
      </c>
      <c r="D271" s="4" t="s">
        <v>1</v>
      </c>
      <c r="E271" s="4" t="s">
        <v>1346</v>
      </c>
      <c r="F271" s="4" t="s">
        <v>3</v>
      </c>
      <c r="G271" s="4" t="s">
        <v>4</v>
      </c>
      <c r="H271" s="4" t="s">
        <v>119</v>
      </c>
      <c r="I271" s="5">
        <v>43616</v>
      </c>
      <c r="J271" s="6">
        <v>0.4260185185185185</v>
      </c>
      <c r="K271" s="5">
        <v>43620</v>
      </c>
      <c r="L271" s="4" t="s">
        <v>6</v>
      </c>
      <c r="M271" s="4"/>
      <c r="N271" s="4" t="s">
        <v>204</v>
      </c>
      <c r="O271" s="4" t="s">
        <v>205</v>
      </c>
      <c r="P271" s="4" t="s">
        <v>206</v>
      </c>
      <c r="Q271" s="4" t="s">
        <v>4</v>
      </c>
      <c r="R271" s="4" t="s">
        <v>4</v>
      </c>
      <c r="S271" s="4" t="s">
        <v>10</v>
      </c>
      <c r="T271" s="4"/>
      <c r="U271" s="4"/>
      <c r="V271" s="4"/>
      <c r="W271" s="4" t="s">
        <v>27</v>
      </c>
      <c r="X271" s="17">
        <v>24500</v>
      </c>
      <c r="Y271" s="17">
        <v>24500</v>
      </c>
      <c r="Z271" s="4" t="s">
        <v>121</v>
      </c>
      <c r="AA271" s="4" t="s">
        <v>1348</v>
      </c>
      <c r="AB271" s="4" t="s">
        <v>1349</v>
      </c>
      <c r="AC271" s="4" t="s">
        <v>1350</v>
      </c>
      <c r="AD271" s="4" t="s">
        <v>17</v>
      </c>
      <c r="AE271" s="4" t="s">
        <v>1351</v>
      </c>
      <c r="AF271" s="4" t="s">
        <v>19</v>
      </c>
      <c r="AG271" s="4" t="s">
        <v>19</v>
      </c>
      <c r="AH271" s="17">
        <v>69081.89</v>
      </c>
    </row>
    <row r="272" spans="2:34" ht="15">
      <c r="B272" s="1" t="s">
        <v>0</v>
      </c>
      <c r="C272" s="2">
        <v>43616</v>
      </c>
      <c r="D272" s="1" t="s">
        <v>1</v>
      </c>
      <c r="E272" s="1" t="s">
        <v>1358</v>
      </c>
      <c r="F272" s="1" t="s">
        <v>3</v>
      </c>
      <c r="G272" s="1" t="s">
        <v>4</v>
      </c>
      <c r="H272" s="1" t="s">
        <v>325</v>
      </c>
      <c r="I272" s="2">
        <v>43616</v>
      </c>
      <c r="J272" s="3">
        <v>0.4527777777777778</v>
      </c>
      <c r="K272" s="2">
        <v>43620</v>
      </c>
      <c r="L272" s="1" t="s">
        <v>6</v>
      </c>
      <c r="M272" s="1"/>
      <c r="N272" s="1" t="s">
        <v>250</v>
      </c>
      <c r="O272" s="1" t="s">
        <v>251</v>
      </c>
      <c r="P272" s="1" t="s">
        <v>252</v>
      </c>
      <c r="Q272" s="1" t="s">
        <v>4</v>
      </c>
      <c r="R272" s="1" t="s">
        <v>4</v>
      </c>
      <c r="S272" s="1" t="s">
        <v>10</v>
      </c>
      <c r="T272" s="1"/>
      <c r="U272" s="1"/>
      <c r="V272" s="1"/>
      <c r="W272" s="1" t="s">
        <v>27</v>
      </c>
      <c r="X272" s="16">
        <v>39000</v>
      </c>
      <c r="Y272" s="16">
        <v>39000</v>
      </c>
      <c r="Z272" s="1" t="s">
        <v>1360</v>
      </c>
      <c r="AA272" s="1" t="s">
        <v>1361</v>
      </c>
      <c r="AB272" s="1" t="s">
        <v>1362</v>
      </c>
      <c r="AC272" s="1" t="s">
        <v>1363</v>
      </c>
      <c r="AD272" s="1" t="s">
        <v>17</v>
      </c>
      <c r="AE272" s="1" t="s">
        <v>1364</v>
      </c>
      <c r="AF272" s="1" t="s">
        <v>19</v>
      </c>
      <c r="AG272" s="1" t="s">
        <v>19</v>
      </c>
      <c r="AH272" s="16">
        <v>124890.38</v>
      </c>
    </row>
    <row r="273" spans="2:34" ht="15">
      <c r="B273" s="4" t="s">
        <v>0</v>
      </c>
      <c r="C273" s="5">
        <v>43616</v>
      </c>
      <c r="D273" s="4" t="s">
        <v>1</v>
      </c>
      <c r="E273" s="4" t="s">
        <v>1372</v>
      </c>
      <c r="F273" s="4" t="s">
        <v>3</v>
      </c>
      <c r="G273" s="4" t="s">
        <v>4</v>
      </c>
      <c r="H273" s="4" t="s">
        <v>325</v>
      </c>
      <c r="I273" s="5">
        <v>43616</v>
      </c>
      <c r="J273" s="6">
        <v>0.45069444444444445</v>
      </c>
      <c r="K273" s="5">
        <v>43620</v>
      </c>
      <c r="L273" s="4" t="s">
        <v>6</v>
      </c>
      <c r="M273" s="4"/>
      <c r="N273" s="4" t="s">
        <v>316</v>
      </c>
      <c r="O273" s="4" t="s">
        <v>317</v>
      </c>
      <c r="P273" s="4" t="s">
        <v>318</v>
      </c>
      <c r="Q273" s="4" t="s">
        <v>4</v>
      </c>
      <c r="R273" s="4" t="s">
        <v>4</v>
      </c>
      <c r="S273" s="4" t="s">
        <v>10</v>
      </c>
      <c r="T273" s="4"/>
      <c r="U273" s="4"/>
      <c r="V273" s="4"/>
      <c r="W273" s="4" t="s">
        <v>27</v>
      </c>
      <c r="X273" s="17">
        <v>33153</v>
      </c>
      <c r="Y273" s="17">
        <v>33153</v>
      </c>
      <c r="Z273" s="4" t="s">
        <v>1374</v>
      </c>
      <c r="AA273" s="4" t="s">
        <v>1375</v>
      </c>
      <c r="AB273" s="4" t="s">
        <v>1376</v>
      </c>
      <c r="AC273" s="4" t="s">
        <v>1377</v>
      </c>
      <c r="AD273" s="4" t="s">
        <v>17</v>
      </c>
      <c r="AE273" s="4" t="s">
        <v>1378</v>
      </c>
      <c r="AF273" s="4" t="s">
        <v>19</v>
      </c>
      <c r="AG273" s="4" t="s">
        <v>19</v>
      </c>
      <c r="AH273" s="17">
        <v>51748.3743</v>
      </c>
    </row>
    <row r="274" spans="2:34" ht="15">
      <c r="B274" s="1" t="s">
        <v>0</v>
      </c>
      <c r="C274" s="2">
        <v>43616</v>
      </c>
      <c r="D274" s="1" t="s">
        <v>1</v>
      </c>
      <c r="E274" s="1" t="s">
        <v>1379</v>
      </c>
      <c r="F274" s="1" t="s">
        <v>3</v>
      </c>
      <c r="G274" s="1" t="s">
        <v>4</v>
      </c>
      <c r="H274" s="1" t="s">
        <v>119</v>
      </c>
      <c r="I274" s="2">
        <v>43616</v>
      </c>
      <c r="J274" s="3">
        <v>0.4509837962962963</v>
      </c>
      <c r="K274" s="2">
        <v>43620</v>
      </c>
      <c r="L274" s="1" t="s">
        <v>6</v>
      </c>
      <c r="M274" s="1"/>
      <c r="N274" s="1" t="s">
        <v>223</v>
      </c>
      <c r="O274" s="1" t="s">
        <v>224</v>
      </c>
      <c r="P274" s="1" t="s">
        <v>225</v>
      </c>
      <c r="Q274" s="1" t="s">
        <v>4</v>
      </c>
      <c r="R274" s="1" t="s">
        <v>4</v>
      </c>
      <c r="S274" s="1" t="s">
        <v>10</v>
      </c>
      <c r="T274" s="1"/>
      <c r="U274" s="1"/>
      <c r="V274" s="1"/>
      <c r="W274" s="1" t="s">
        <v>27</v>
      </c>
      <c r="X274" s="16">
        <v>64000</v>
      </c>
      <c r="Y274" s="16">
        <v>64000</v>
      </c>
      <c r="Z274" s="1" t="s">
        <v>1381</v>
      </c>
      <c r="AA274" s="1" t="s">
        <v>1382</v>
      </c>
      <c r="AB274" s="1" t="s">
        <v>1383</v>
      </c>
      <c r="AC274" s="1" t="s">
        <v>1384</v>
      </c>
      <c r="AD274" s="1" t="s">
        <v>17</v>
      </c>
      <c r="AE274" s="1" t="s">
        <v>1385</v>
      </c>
      <c r="AF274" s="1" t="s">
        <v>19</v>
      </c>
      <c r="AG274" s="1" t="s">
        <v>19</v>
      </c>
      <c r="AH274" s="16">
        <v>146621.66</v>
      </c>
    </row>
    <row r="275" spans="2:34" ht="15">
      <c r="B275" s="4" t="s">
        <v>0</v>
      </c>
      <c r="C275" s="5">
        <v>43616</v>
      </c>
      <c r="D275" s="4" t="s">
        <v>1</v>
      </c>
      <c r="E275" s="4" t="s">
        <v>1386</v>
      </c>
      <c r="F275" s="4" t="s">
        <v>3</v>
      </c>
      <c r="G275" s="4" t="s">
        <v>4</v>
      </c>
      <c r="H275" s="4" t="s">
        <v>786</v>
      </c>
      <c r="I275" s="5">
        <v>43616</v>
      </c>
      <c r="J275" s="6">
        <v>0.36666666666666664</v>
      </c>
      <c r="K275" s="5">
        <v>43620</v>
      </c>
      <c r="L275" s="4" t="s">
        <v>6</v>
      </c>
      <c r="M275" s="4"/>
      <c r="N275" s="4" t="s">
        <v>382</v>
      </c>
      <c r="O275" s="4" t="s">
        <v>383</v>
      </c>
      <c r="P275" s="4" t="s">
        <v>1387</v>
      </c>
      <c r="Q275" s="4" t="s">
        <v>4</v>
      </c>
      <c r="R275" s="4" t="s">
        <v>4</v>
      </c>
      <c r="S275" s="4" t="s">
        <v>10</v>
      </c>
      <c r="T275" s="4"/>
      <c r="U275" s="4"/>
      <c r="V275" s="4"/>
      <c r="W275" s="4" t="s">
        <v>27</v>
      </c>
      <c r="X275" s="17">
        <v>10500</v>
      </c>
      <c r="Y275" s="17">
        <v>10500</v>
      </c>
      <c r="Z275" s="4" t="s">
        <v>1388</v>
      </c>
      <c r="AA275" s="4" t="s">
        <v>1389</v>
      </c>
      <c r="AB275" s="4" t="s">
        <v>1390</v>
      </c>
      <c r="AC275" s="4" t="s">
        <v>1391</v>
      </c>
      <c r="AD275" s="4" t="s">
        <v>17</v>
      </c>
      <c r="AE275" s="4" t="s">
        <v>1392</v>
      </c>
      <c r="AF275" s="4" t="s">
        <v>19</v>
      </c>
      <c r="AG275" s="4" t="s">
        <v>19</v>
      </c>
      <c r="AH275" s="17">
        <v>118954.06</v>
      </c>
    </row>
    <row r="276" spans="2:34" ht="15">
      <c r="B276" s="1" t="s">
        <v>0</v>
      </c>
      <c r="C276" s="2">
        <v>43619</v>
      </c>
      <c r="D276" s="1" t="s">
        <v>1</v>
      </c>
      <c r="E276" s="1" t="s">
        <v>1711</v>
      </c>
      <c r="F276" s="1" t="s">
        <v>3</v>
      </c>
      <c r="G276" s="1" t="s">
        <v>4</v>
      </c>
      <c r="H276" s="1" t="s">
        <v>325</v>
      </c>
      <c r="I276" s="2">
        <v>43616</v>
      </c>
      <c r="J276" s="3">
        <v>0.46597222222222223</v>
      </c>
      <c r="K276" s="2">
        <v>43620</v>
      </c>
      <c r="L276" s="1" t="s">
        <v>6</v>
      </c>
      <c r="M276" s="1"/>
      <c r="N276" s="1" t="s">
        <v>316</v>
      </c>
      <c r="O276" s="1" t="s">
        <v>317</v>
      </c>
      <c r="P276" s="1" t="s">
        <v>318</v>
      </c>
      <c r="Q276" s="1" t="s">
        <v>4</v>
      </c>
      <c r="R276" s="1" t="s">
        <v>4</v>
      </c>
      <c r="S276" s="1" t="s">
        <v>10</v>
      </c>
      <c r="T276" s="1"/>
      <c r="U276" s="1"/>
      <c r="V276" s="1"/>
      <c r="W276" s="1" t="s">
        <v>27</v>
      </c>
      <c r="X276" s="16">
        <v>173847</v>
      </c>
      <c r="Y276" s="16">
        <v>173847</v>
      </c>
      <c r="Z276" s="1" t="s">
        <v>1374</v>
      </c>
      <c r="AA276" s="1" t="s">
        <v>1713</v>
      </c>
      <c r="AB276" s="1" t="s">
        <v>1714</v>
      </c>
      <c r="AC276" s="1" t="s">
        <v>1715</v>
      </c>
      <c r="AD276" s="1" t="s">
        <v>17</v>
      </c>
      <c r="AE276" s="1" t="s">
        <v>1716</v>
      </c>
      <c r="AF276" s="1" t="s">
        <v>19</v>
      </c>
      <c r="AG276" s="1" t="s">
        <v>19</v>
      </c>
      <c r="AH276" s="16">
        <v>271352.7857</v>
      </c>
    </row>
    <row r="277" spans="2:34" ht="15">
      <c r="B277" s="4" t="s">
        <v>0</v>
      </c>
      <c r="C277" s="5">
        <v>43619</v>
      </c>
      <c r="D277" s="4" t="s">
        <v>1</v>
      </c>
      <c r="E277" s="4" t="s">
        <v>1717</v>
      </c>
      <c r="F277" s="4" t="s">
        <v>3</v>
      </c>
      <c r="G277" s="4" t="s">
        <v>4</v>
      </c>
      <c r="H277" s="4" t="s">
        <v>119</v>
      </c>
      <c r="I277" s="5">
        <v>43616</v>
      </c>
      <c r="J277" s="6">
        <v>0.48626157407407405</v>
      </c>
      <c r="K277" s="5">
        <v>43620</v>
      </c>
      <c r="L277" s="4" t="s">
        <v>6</v>
      </c>
      <c r="M277" s="4"/>
      <c r="N277" s="4" t="s">
        <v>278</v>
      </c>
      <c r="O277" s="4" t="s">
        <v>279</v>
      </c>
      <c r="P277" s="4" t="s">
        <v>280</v>
      </c>
      <c r="Q277" s="4" t="s">
        <v>4</v>
      </c>
      <c r="R277" s="4" t="s">
        <v>4</v>
      </c>
      <c r="S277" s="4" t="s">
        <v>10</v>
      </c>
      <c r="T277" s="4"/>
      <c r="U277" s="4"/>
      <c r="V277" s="4"/>
      <c r="W277" s="4" t="s">
        <v>27</v>
      </c>
      <c r="X277" s="17">
        <v>47600</v>
      </c>
      <c r="Y277" s="17">
        <v>47600</v>
      </c>
      <c r="Z277" s="4" t="s">
        <v>1719</v>
      </c>
      <c r="AA277" s="4" t="s">
        <v>1720</v>
      </c>
      <c r="AB277" s="4" t="s">
        <v>1721</v>
      </c>
      <c r="AC277" s="4" t="s">
        <v>1722</v>
      </c>
      <c r="AD277" s="4" t="s">
        <v>17</v>
      </c>
      <c r="AE277" s="4" t="s">
        <v>1723</v>
      </c>
      <c r="AF277" s="4" t="s">
        <v>19</v>
      </c>
      <c r="AG277" s="4" t="s">
        <v>19</v>
      </c>
      <c r="AH277" s="17">
        <v>111564.8533</v>
      </c>
    </row>
    <row r="278" spans="2:34" ht="15">
      <c r="B278" s="1" t="s">
        <v>153</v>
      </c>
      <c r="C278" s="2">
        <v>43621</v>
      </c>
      <c r="D278" s="1" t="s">
        <v>154</v>
      </c>
      <c r="E278" s="1" t="s">
        <v>1724</v>
      </c>
      <c r="F278" s="1" t="s">
        <v>3</v>
      </c>
      <c r="G278" s="1" t="s">
        <v>4</v>
      </c>
      <c r="H278" s="1" t="s">
        <v>119</v>
      </c>
      <c r="I278" s="2">
        <v>43620</v>
      </c>
      <c r="J278" s="3">
        <v>0.6040856481481481</v>
      </c>
      <c r="K278" s="2">
        <v>43622</v>
      </c>
      <c r="L278" s="1" t="s">
        <v>6</v>
      </c>
      <c r="M278" s="1"/>
      <c r="N278" s="1" t="s">
        <v>136</v>
      </c>
      <c r="O278" s="1" t="s">
        <v>137</v>
      </c>
      <c r="P278" s="1" t="s">
        <v>138</v>
      </c>
      <c r="Q278" s="1" t="s">
        <v>4</v>
      </c>
      <c r="R278" s="1" t="s">
        <v>4</v>
      </c>
      <c r="S278" s="1" t="s">
        <v>10</v>
      </c>
      <c r="T278" s="1"/>
      <c r="U278" s="1"/>
      <c r="V278" s="1"/>
      <c r="W278" s="1" t="s">
        <v>27</v>
      </c>
      <c r="X278" s="16">
        <v>4500</v>
      </c>
      <c r="Y278" s="16">
        <v>4500</v>
      </c>
      <c r="Z278" s="1" t="s">
        <v>1725</v>
      </c>
      <c r="AA278" s="1" t="s">
        <v>1726</v>
      </c>
      <c r="AB278" s="1" t="s">
        <v>1727</v>
      </c>
      <c r="AC278" s="1" t="s">
        <v>1728</v>
      </c>
      <c r="AD278" s="1" t="s">
        <v>17</v>
      </c>
      <c r="AE278" s="1" t="s">
        <v>17</v>
      </c>
      <c r="AF278" s="1" t="s">
        <v>19</v>
      </c>
      <c r="AG278" s="1" t="s">
        <v>19</v>
      </c>
      <c r="AH278" s="16">
        <v>15891.876</v>
      </c>
    </row>
    <row r="279" spans="2:34" ht="15">
      <c r="B279" s="4" t="s">
        <v>20</v>
      </c>
      <c r="C279" s="5">
        <v>43623</v>
      </c>
      <c r="D279" s="4" t="s">
        <v>21</v>
      </c>
      <c r="E279" s="4" t="s">
        <v>1729</v>
      </c>
      <c r="F279" s="4" t="s">
        <v>3</v>
      </c>
      <c r="G279" s="4" t="s">
        <v>4</v>
      </c>
      <c r="H279" s="4" t="s">
        <v>325</v>
      </c>
      <c r="I279" s="5">
        <v>43622</v>
      </c>
      <c r="J279" s="6">
        <v>0.6340277777777777</v>
      </c>
      <c r="K279" s="5">
        <v>43626</v>
      </c>
      <c r="L279" s="4" t="s">
        <v>6</v>
      </c>
      <c r="M279" s="4"/>
      <c r="N279" s="4" t="s">
        <v>223</v>
      </c>
      <c r="O279" s="4" t="s">
        <v>224</v>
      </c>
      <c r="P279" s="4" t="s">
        <v>225</v>
      </c>
      <c r="Q279" s="4" t="s">
        <v>4</v>
      </c>
      <c r="R279" s="4" t="s">
        <v>4</v>
      </c>
      <c r="S279" s="4" t="s">
        <v>10</v>
      </c>
      <c r="T279" s="4"/>
      <c r="U279" s="4"/>
      <c r="V279" s="4"/>
      <c r="W279" s="4" t="s">
        <v>27</v>
      </c>
      <c r="X279" s="17">
        <v>523680</v>
      </c>
      <c r="Y279" s="17">
        <v>523680</v>
      </c>
      <c r="Z279" s="4" t="s">
        <v>1731</v>
      </c>
      <c r="AA279" s="4" t="s">
        <v>1732</v>
      </c>
      <c r="AB279" s="4" t="s">
        <v>1733</v>
      </c>
      <c r="AC279" s="4" t="s">
        <v>1734</v>
      </c>
      <c r="AD279" s="4" t="s">
        <v>17</v>
      </c>
      <c r="AE279" s="4" t="s">
        <v>1735</v>
      </c>
      <c r="AF279" s="4" t="s">
        <v>19</v>
      </c>
      <c r="AG279" s="4" t="s">
        <v>19</v>
      </c>
      <c r="AH279" s="17">
        <v>1081070.538</v>
      </c>
    </row>
    <row r="280" spans="2:34" ht="15">
      <c r="B280" s="1" t="s">
        <v>0</v>
      </c>
      <c r="C280" s="2">
        <v>43623</v>
      </c>
      <c r="D280" s="1" t="s">
        <v>1</v>
      </c>
      <c r="E280" s="1" t="s">
        <v>1736</v>
      </c>
      <c r="F280" s="1" t="s">
        <v>3</v>
      </c>
      <c r="G280" s="1" t="s">
        <v>4</v>
      </c>
      <c r="H280" s="1" t="s">
        <v>325</v>
      </c>
      <c r="I280" s="2">
        <v>43622</v>
      </c>
      <c r="J280" s="3">
        <v>0.6340277777777777</v>
      </c>
      <c r="K280" s="2">
        <v>43626</v>
      </c>
      <c r="L280" s="1" t="s">
        <v>6</v>
      </c>
      <c r="M280" s="1"/>
      <c r="N280" s="1" t="s">
        <v>223</v>
      </c>
      <c r="O280" s="1" t="s">
        <v>224</v>
      </c>
      <c r="P280" s="1" t="s">
        <v>225</v>
      </c>
      <c r="Q280" s="1" t="s">
        <v>4</v>
      </c>
      <c r="R280" s="1" t="s">
        <v>4</v>
      </c>
      <c r="S280" s="1" t="s">
        <v>10</v>
      </c>
      <c r="T280" s="1"/>
      <c r="U280" s="1"/>
      <c r="V280" s="1"/>
      <c r="W280" s="1" t="s">
        <v>27</v>
      </c>
      <c r="X280" s="16">
        <v>79967</v>
      </c>
      <c r="Y280" s="16">
        <v>79967</v>
      </c>
      <c r="Z280" s="1" t="s">
        <v>1731</v>
      </c>
      <c r="AA280" s="1" t="s">
        <v>1738</v>
      </c>
      <c r="AB280" s="1" t="s">
        <v>1739</v>
      </c>
      <c r="AC280" s="1" t="s">
        <v>1740</v>
      </c>
      <c r="AD280" s="1" t="s">
        <v>17</v>
      </c>
      <c r="AE280" s="1" t="s">
        <v>1741</v>
      </c>
      <c r="AF280" s="1" t="s">
        <v>19</v>
      </c>
      <c r="AG280" s="1" t="s">
        <v>19</v>
      </c>
      <c r="AH280" s="16">
        <v>165082.5147</v>
      </c>
    </row>
    <row r="281" spans="2:34" ht="15">
      <c r="B281" s="4" t="s">
        <v>0</v>
      </c>
      <c r="C281" s="5">
        <v>43623</v>
      </c>
      <c r="D281" s="4" t="s">
        <v>1</v>
      </c>
      <c r="E281" s="4" t="s">
        <v>1742</v>
      </c>
      <c r="F281" s="4" t="s">
        <v>3</v>
      </c>
      <c r="G281" s="4" t="s">
        <v>4</v>
      </c>
      <c r="H281" s="4" t="s">
        <v>119</v>
      </c>
      <c r="I281" s="5">
        <v>43622</v>
      </c>
      <c r="J281" s="6">
        <v>0.6342245370370371</v>
      </c>
      <c r="K281" s="5">
        <v>43626</v>
      </c>
      <c r="L281" s="4" t="s">
        <v>6</v>
      </c>
      <c r="M281" s="4"/>
      <c r="N281" s="4" t="s">
        <v>885</v>
      </c>
      <c r="O281" s="4" t="s">
        <v>886</v>
      </c>
      <c r="P281" s="4" t="s">
        <v>887</v>
      </c>
      <c r="Q281" s="4" t="s">
        <v>4</v>
      </c>
      <c r="R281" s="4" t="s">
        <v>4</v>
      </c>
      <c r="S281" s="4" t="s">
        <v>10</v>
      </c>
      <c r="T281" s="4"/>
      <c r="U281" s="4"/>
      <c r="V281" s="4"/>
      <c r="W281" s="4" t="s">
        <v>27</v>
      </c>
      <c r="X281" s="17">
        <v>9430</v>
      </c>
      <c r="Y281" s="17">
        <v>9430</v>
      </c>
      <c r="Z281" s="4" t="s">
        <v>1744</v>
      </c>
      <c r="AA281" s="4" t="s">
        <v>1745</v>
      </c>
      <c r="AB281" s="4" t="s">
        <v>1746</v>
      </c>
      <c r="AC281" s="4" t="s">
        <v>1747</v>
      </c>
      <c r="AD281" s="4" t="s">
        <v>17</v>
      </c>
      <c r="AE281" s="4" t="s">
        <v>1748</v>
      </c>
      <c r="AF281" s="4" t="s">
        <v>19</v>
      </c>
      <c r="AG281" s="4" t="s">
        <v>19</v>
      </c>
      <c r="AH281" s="17">
        <v>21073.38003</v>
      </c>
    </row>
    <row r="282" spans="2:34" ht="15">
      <c r="B282" s="1" t="s">
        <v>153</v>
      </c>
      <c r="C282" s="2">
        <v>43623</v>
      </c>
      <c r="D282" s="1" t="s">
        <v>154</v>
      </c>
      <c r="E282" s="1" t="s">
        <v>1749</v>
      </c>
      <c r="F282" s="1" t="s">
        <v>3</v>
      </c>
      <c r="G282" s="1" t="s">
        <v>4</v>
      </c>
      <c r="H282" s="1" t="s">
        <v>325</v>
      </c>
      <c r="I282" s="2">
        <v>43622</v>
      </c>
      <c r="J282" s="3">
        <v>0.6340277777777777</v>
      </c>
      <c r="K282" s="2">
        <v>43626</v>
      </c>
      <c r="L282" s="1" t="s">
        <v>6</v>
      </c>
      <c r="M282" s="1"/>
      <c r="N282" s="1" t="s">
        <v>223</v>
      </c>
      <c r="O282" s="1" t="s">
        <v>224</v>
      </c>
      <c r="P282" s="1" t="s">
        <v>225</v>
      </c>
      <c r="Q282" s="1" t="s">
        <v>4</v>
      </c>
      <c r="R282" s="1" t="s">
        <v>4</v>
      </c>
      <c r="S282" s="1" t="s">
        <v>10</v>
      </c>
      <c r="T282" s="1"/>
      <c r="U282" s="1"/>
      <c r="V282" s="1"/>
      <c r="W282" s="1" t="s">
        <v>27</v>
      </c>
      <c r="X282" s="16">
        <v>1415</v>
      </c>
      <c r="Y282" s="16">
        <v>1415</v>
      </c>
      <c r="Z282" s="1" t="s">
        <v>1731</v>
      </c>
      <c r="AA282" s="1" t="s">
        <v>1751</v>
      </c>
      <c r="AB282" s="1" t="s">
        <v>1752</v>
      </c>
      <c r="AC282" s="1" t="s">
        <v>1753</v>
      </c>
      <c r="AD282" s="1" t="s">
        <v>17</v>
      </c>
      <c r="AE282" s="1" t="s">
        <v>1754</v>
      </c>
      <c r="AF282" s="1" t="s">
        <v>19</v>
      </c>
      <c r="AG282" s="1" t="s">
        <v>19</v>
      </c>
      <c r="AH282" s="16">
        <v>2921.0815</v>
      </c>
    </row>
    <row r="283" spans="2:34" ht="15">
      <c r="B283" s="4" t="s">
        <v>153</v>
      </c>
      <c r="C283" s="5">
        <v>43627</v>
      </c>
      <c r="D283" s="4" t="s">
        <v>154</v>
      </c>
      <c r="E283" s="4"/>
      <c r="F283" s="4" t="s">
        <v>3</v>
      </c>
      <c r="G283" s="4" t="s">
        <v>4</v>
      </c>
      <c r="H283" s="4" t="s">
        <v>119</v>
      </c>
      <c r="I283" s="5">
        <v>43626</v>
      </c>
      <c r="J283" s="6">
        <v>0.47600694444444447</v>
      </c>
      <c r="K283" s="5">
        <v>43630</v>
      </c>
      <c r="L283" s="4" t="s">
        <v>6</v>
      </c>
      <c r="M283" s="4"/>
      <c r="N283" s="4" t="s">
        <v>136</v>
      </c>
      <c r="O283" s="4" t="s">
        <v>137</v>
      </c>
      <c r="P283" s="4" t="s">
        <v>138</v>
      </c>
      <c r="Q283" s="4" t="s">
        <v>4</v>
      </c>
      <c r="R283" s="4" t="s">
        <v>4</v>
      </c>
      <c r="S283" s="4" t="s">
        <v>10</v>
      </c>
      <c r="T283" s="4"/>
      <c r="U283" s="4"/>
      <c r="V283" s="4"/>
      <c r="W283" s="4" t="s">
        <v>27</v>
      </c>
      <c r="X283" s="17">
        <v>11000</v>
      </c>
      <c r="Y283" s="17">
        <v>11000</v>
      </c>
      <c r="Z283" s="4" t="s">
        <v>1755</v>
      </c>
      <c r="AA283" s="4" t="s">
        <v>1756</v>
      </c>
      <c r="AB283" s="4" t="s">
        <v>1757</v>
      </c>
      <c r="AC283" s="4" t="s">
        <v>1758</v>
      </c>
      <c r="AD283" s="4" t="s">
        <v>17</v>
      </c>
      <c r="AE283" s="4" t="s">
        <v>17</v>
      </c>
      <c r="AF283" s="4" t="s">
        <v>19</v>
      </c>
      <c r="AG283" s="4" t="s">
        <v>19</v>
      </c>
      <c r="AH283" s="17">
        <v>37993.4555</v>
      </c>
    </row>
    <row r="284" spans="2:34" ht="15">
      <c r="B284" s="1" t="s">
        <v>153</v>
      </c>
      <c r="C284" s="2">
        <v>43627</v>
      </c>
      <c r="D284" s="1" t="s">
        <v>154</v>
      </c>
      <c r="E284" s="1"/>
      <c r="F284" s="1" t="s">
        <v>3</v>
      </c>
      <c r="G284" s="1" t="s">
        <v>4</v>
      </c>
      <c r="H284" s="1" t="s">
        <v>119</v>
      </c>
      <c r="I284" s="2">
        <v>43626</v>
      </c>
      <c r="J284" s="3">
        <v>0.5508680555555555</v>
      </c>
      <c r="K284" s="2">
        <v>43630</v>
      </c>
      <c r="L284" s="1" t="s">
        <v>6</v>
      </c>
      <c r="M284" s="1"/>
      <c r="N284" s="1" t="s">
        <v>194</v>
      </c>
      <c r="O284" s="1" t="s">
        <v>195</v>
      </c>
      <c r="P284" s="1" t="s">
        <v>196</v>
      </c>
      <c r="Q284" s="1" t="s">
        <v>4</v>
      </c>
      <c r="R284" s="1" t="s">
        <v>4</v>
      </c>
      <c r="S284" s="1" t="s">
        <v>10</v>
      </c>
      <c r="T284" s="1"/>
      <c r="U284" s="1"/>
      <c r="V284" s="1"/>
      <c r="W284" s="1" t="s">
        <v>27</v>
      </c>
      <c r="X284" s="16">
        <v>17150</v>
      </c>
      <c r="Y284" s="16">
        <v>17150</v>
      </c>
      <c r="Z284" s="1" t="s">
        <v>1760</v>
      </c>
      <c r="AA284" s="1" t="s">
        <v>1761</v>
      </c>
      <c r="AB284" s="1" t="s">
        <v>1762</v>
      </c>
      <c r="AC284" s="1" t="s">
        <v>1763</v>
      </c>
      <c r="AD284" s="1" t="s">
        <v>17</v>
      </c>
      <c r="AE284" s="1" t="s">
        <v>1764</v>
      </c>
      <c r="AF284" s="1" t="s">
        <v>19</v>
      </c>
      <c r="AG284" s="1" t="s">
        <v>19</v>
      </c>
      <c r="AH284" s="16">
        <v>52916.9552</v>
      </c>
    </row>
    <row r="285" spans="2:34" ht="15">
      <c r="B285" s="4" t="s">
        <v>153</v>
      </c>
      <c r="C285" s="5">
        <v>43627</v>
      </c>
      <c r="D285" s="4" t="s">
        <v>154</v>
      </c>
      <c r="E285" s="4"/>
      <c r="F285" s="4" t="s">
        <v>3</v>
      </c>
      <c r="G285" s="4" t="s">
        <v>4</v>
      </c>
      <c r="H285" s="4" t="s">
        <v>119</v>
      </c>
      <c r="I285" s="5">
        <v>43626</v>
      </c>
      <c r="J285" s="6">
        <v>0.4766435185185185</v>
      </c>
      <c r="K285" s="5">
        <v>43630</v>
      </c>
      <c r="L285" s="4" t="s">
        <v>6</v>
      </c>
      <c r="M285" s="4"/>
      <c r="N285" s="4" t="s">
        <v>204</v>
      </c>
      <c r="O285" s="4" t="s">
        <v>205</v>
      </c>
      <c r="P285" s="4" t="s">
        <v>206</v>
      </c>
      <c r="Q285" s="4" t="s">
        <v>4</v>
      </c>
      <c r="R285" s="4" t="s">
        <v>4</v>
      </c>
      <c r="S285" s="4" t="s">
        <v>10</v>
      </c>
      <c r="T285" s="4"/>
      <c r="U285" s="4"/>
      <c r="V285" s="4"/>
      <c r="W285" s="4" t="s">
        <v>27</v>
      </c>
      <c r="X285" s="17">
        <v>20000</v>
      </c>
      <c r="Y285" s="17">
        <v>20000</v>
      </c>
      <c r="Z285" s="4" t="s">
        <v>1766</v>
      </c>
      <c r="AA285" s="4" t="s">
        <v>1767</v>
      </c>
      <c r="AB285" s="4" t="s">
        <v>1768</v>
      </c>
      <c r="AC285" s="4" t="s">
        <v>1769</v>
      </c>
      <c r="AD285" s="4" t="s">
        <v>17</v>
      </c>
      <c r="AE285" s="4" t="s">
        <v>1770</v>
      </c>
      <c r="AF285" s="4" t="s">
        <v>19</v>
      </c>
      <c r="AG285" s="4" t="s">
        <v>19</v>
      </c>
      <c r="AH285" s="17">
        <v>48941.69</v>
      </c>
    </row>
    <row r="286" spans="2:34" ht="15">
      <c r="B286" s="1" t="s">
        <v>153</v>
      </c>
      <c r="C286" s="2">
        <v>43627</v>
      </c>
      <c r="D286" s="1" t="s">
        <v>154</v>
      </c>
      <c r="E286" s="1"/>
      <c r="F286" s="1" t="s">
        <v>3</v>
      </c>
      <c r="G286" s="1" t="s">
        <v>4</v>
      </c>
      <c r="H286" s="1" t="s">
        <v>119</v>
      </c>
      <c r="I286" s="2">
        <v>43626</v>
      </c>
      <c r="J286" s="3">
        <v>0.5481018518518519</v>
      </c>
      <c r="K286" s="2">
        <v>43630</v>
      </c>
      <c r="L286" s="1" t="s">
        <v>6</v>
      </c>
      <c r="M286" s="1"/>
      <c r="N286" s="1" t="s">
        <v>250</v>
      </c>
      <c r="O286" s="1" t="s">
        <v>251</v>
      </c>
      <c r="P286" s="1" t="s">
        <v>252</v>
      </c>
      <c r="Q286" s="1" t="s">
        <v>4</v>
      </c>
      <c r="R286" s="1" t="s">
        <v>4</v>
      </c>
      <c r="S286" s="1" t="s">
        <v>10</v>
      </c>
      <c r="T286" s="1"/>
      <c r="U286" s="1"/>
      <c r="V286" s="1"/>
      <c r="W286" s="1" t="s">
        <v>27</v>
      </c>
      <c r="X286" s="16">
        <v>173</v>
      </c>
      <c r="Y286" s="16">
        <v>173</v>
      </c>
      <c r="Z286" s="1" t="s">
        <v>1772</v>
      </c>
      <c r="AA286" s="1" t="s">
        <v>1773</v>
      </c>
      <c r="AB286" s="1" t="s">
        <v>1774</v>
      </c>
      <c r="AC286" s="1" t="s">
        <v>1775</v>
      </c>
      <c r="AD286" s="1" t="s">
        <v>17</v>
      </c>
      <c r="AE286" s="1" t="s">
        <v>1776</v>
      </c>
      <c r="AF286" s="1" t="s">
        <v>19</v>
      </c>
      <c r="AG286" s="1" t="s">
        <v>19</v>
      </c>
      <c r="AH286" s="16">
        <v>558.80983</v>
      </c>
    </row>
    <row r="287" spans="2:34" ht="15">
      <c r="B287" s="4" t="s">
        <v>153</v>
      </c>
      <c r="C287" s="5">
        <v>43627</v>
      </c>
      <c r="D287" s="4" t="s">
        <v>154</v>
      </c>
      <c r="E287" s="4"/>
      <c r="F287" s="4" t="s">
        <v>3</v>
      </c>
      <c r="G287" s="4" t="s">
        <v>4</v>
      </c>
      <c r="H287" s="4" t="s">
        <v>119</v>
      </c>
      <c r="I287" s="5">
        <v>43626</v>
      </c>
      <c r="J287" s="6">
        <v>0.524525462962963</v>
      </c>
      <c r="K287" s="5">
        <v>43630</v>
      </c>
      <c r="L287" s="4" t="s">
        <v>6</v>
      </c>
      <c r="M287" s="4"/>
      <c r="N287" s="4" t="s">
        <v>278</v>
      </c>
      <c r="O287" s="4" t="s">
        <v>279</v>
      </c>
      <c r="P287" s="4" t="s">
        <v>280</v>
      </c>
      <c r="Q287" s="4" t="s">
        <v>4</v>
      </c>
      <c r="R287" s="4" t="s">
        <v>4</v>
      </c>
      <c r="S287" s="4" t="s">
        <v>10</v>
      </c>
      <c r="T287" s="4"/>
      <c r="U287" s="4"/>
      <c r="V287" s="4"/>
      <c r="W287" s="4" t="s">
        <v>27</v>
      </c>
      <c r="X287" s="17">
        <v>23600</v>
      </c>
      <c r="Y287" s="17">
        <v>23600</v>
      </c>
      <c r="Z287" s="4" t="s">
        <v>1778</v>
      </c>
      <c r="AA287" s="4" t="s">
        <v>1779</v>
      </c>
      <c r="AB287" s="4" t="s">
        <v>1780</v>
      </c>
      <c r="AC287" s="4" t="s">
        <v>1781</v>
      </c>
      <c r="AD287" s="4" t="s">
        <v>17</v>
      </c>
      <c r="AE287" s="4" t="s">
        <v>1782</v>
      </c>
      <c r="AF287" s="4" t="s">
        <v>19</v>
      </c>
      <c r="AG287" s="4" t="s">
        <v>19</v>
      </c>
      <c r="AH287" s="17">
        <v>57097.458</v>
      </c>
    </row>
    <row r="288" spans="2:34" ht="15">
      <c r="B288" s="1" t="s">
        <v>153</v>
      </c>
      <c r="C288" s="2">
        <v>43627</v>
      </c>
      <c r="D288" s="1" t="s">
        <v>154</v>
      </c>
      <c r="E288" s="1"/>
      <c r="F288" s="1" t="s">
        <v>3</v>
      </c>
      <c r="G288" s="1" t="s">
        <v>4</v>
      </c>
      <c r="H288" s="1" t="s">
        <v>183</v>
      </c>
      <c r="I288" s="2">
        <v>43626</v>
      </c>
      <c r="J288" s="3">
        <v>0.65125</v>
      </c>
      <c r="K288" s="2">
        <v>43630</v>
      </c>
      <c r="L288" s="1" t="s">
        <v>6</v>
      </c>
      <c r="M288" s="1"/>
      <c r="N288" s="1" t="s">
        <v>184</v>
      </c>
      <c r="O288" s="1" t="s">
        <v>185</v>
      </c>
      <c r="P288" s="1" t="s">
        <v>186</v>
      </c>
      <c r="Q288" s="1" t="s">
        <v>4</v>
      </c>
      <c r="R288" s="1" t="s">
        <v>4</v>
      </c>
      <c r="S288" s="1" t="s">
        <v>10</v>
      </c>
      <c r="T288" s="1"/>
      <c r="U288" s="1"/>
      <c r="V288" s="1"/>
      <c r="W288" s="1" t="s">
        <v>27</v>
      </c>
      <c r="X288" s="16">
        <v>7950</v>
      </c>
      <c r="Y288" s="16">
        <v>7950</v>
      </c>
      <c r="Z288" s="1" t="s">
        <v>1784</v>
      </c>
      <c r="AA288" s="1" t="s">
        <v>1785</v>
      </c>
      <c r="AB288" s="1" t="s">
        <v>1786</v>
      </c>
      <c r="AC288" s="1" t="s">
        <v>1787</v>
      </c>
      <c r="AD288" s="1" t="s">
        <v>17</v>
      </c>
      <c r="AE288" s="1" t="s">
        <v>1788</v>
      </c>
      <c r="AF288" s="1" t="s">
        <v>19</v>
      </c>
      <c r="AG288" s="1" t="s">
        <v>19</v>
      </c>
      <c r="AH288" s="16">
        <v>35986.00017</v>
      </c>
    </row>
    <row r="289" spans="2:34" ht="15">
      <c r="B289" s="4" t="s">
        <v>153</v>
      </c>
      <c r="C289" s="5">
        <v>43627</v>
      </c>
      <c r="D289" s="4" t="s">
        <v>154</v>
      </c>
      <c r="E289" s="4"/>
      <c r="F289" s="4" t="s">
        <v>3</v>
      </c>
      <c r="G289" s="4" t="s">
        <v>4</v>
      </c>
      <c r="H289" s="4" t="s">
        <v>325</v>
      </c>
      <c r="I289" s="5">
        <v>43626</v>
      </c>
      <c r="J289" s="6">
        <v>0.4701388888888889</v>
      </c>
      <c r="K289" s="5">
        <v>43630</v>
      </c>
      <c r="L289" s="4" t="s">
        <v>6</v>
      </c>
      <c r="M289" s="4"/>
      <c r="N289" s="4" t="s">
        <v>336</v>
      </c>
      <c r="O289" s="4" t="s">
        <v>337</v>
      </c>
      <c r="P289" s="4" t="s">
        <v>338</v>
      </c>
      <c r="Q289" s="4" t="s">
        <v>4</v>
      </c>
      <c r="R289" s="4" t="s">
        <v>4</v>
      </c>
      <c r="S289" s="4" t="s">
        <v>10</v>
      </c>
      <c r="T289" s="4"/>
      <c r="U289" s="4"/>
      <c r="V289" s="4"/>
      <c r="W289" s="4" t="s">
        <v>27</v>
      </c>
      <c r="X289" s="17">
        <v>2285</v>
      </c>
      <c r="Y289" s="17">
        <v>2285</v>
      </c>
      <c r="Z289" s="4" t="s">
        <v>1790</v>
      </c>
      <c r="AA289" s="4" t="s">
        <v>1791</v>
      </c>
      <c r="AB289" s="4" t="s">
        <v>1792</v>
      </c>
      <c r="AC289" s="4" t="s">
        <v>1793</v>
      </c>
      <c r="AD289" s="4" t="s">
        <v>17</v>
      </c>
      <c r="AE289" s="4" t="s">
        <v>1794</v>
      </c>
      <c r="AF289" s="4" t="s">
        <v>19</v>
      </c>
      <c r="AG289" s="4" t="s">
        <v>19</v>
      </c>
      <c r="AH289" s="17">
        <v>60402.7225</v>
      </c>
    </row>
    <row r="290" spans="2:34" ht="15">
      <c r="B290" s="1" t="s">
        <v>153</v>
      </c>
      <c r="C290" s="2">
        <v>43627</v>
      </c>
      <c r="D290" s="1" t="s">
        <v>154</v>
      </c>
      <c r="E290" s="1"/>
      <c r="F290" s="1" t="s">
        <v>3</v>
      </c>
      <c r="G290" s="1" t="s">
        <v>4</v>
      </c>
      <c r="H290" s="1" t="s">
        <v>325</v>
      </c>
      <c r="I290" s="2">
        <v>43626</v>
      </c>
      <c r="J290" s="3">
        <v>0.6916666666666667</v>
      </c>
      <c r="K290" s="2">
        <v>43630</v>
      </c>
      <c r="L290" s="1" t="s">
        <v>6</v>
      </c>
      <c r="M290" s="1"/>
      <c r="N290" s="1" t="s">
        <v>391</v>
      </c>
      <c r="O290" s="1" t="s">
        <v>392</v>
      </c>
      <c r="P290" s="1" t="s">
        <v>698</v>
      </c>
      <c r="Q290" s="1" t="s">
        <v>4</v>
      </c>
      <c r="R290" s="1" t="s">
        <v>4</v>
      </c>
      <c r="S290" s="1" t="s">
        <v>10</v>
      </c>
      <c r="T290" s="1"/>
      <c r="U290" s="1"/>
      <c r="V290" s="1"/>
      <c r="W290" s="1" t="s">
        <v>27</v>
      </c>
      <c r="X290" s="16">
        <v>1450</v>
      </c>
      <c r="Y290" s="16">
        <v>1450</v>
      </c>
      <c r="Z290" s="1" t="s">
        <v>1796</v>
      </c>
      <c r="AA290" s="1" t="s">
        <v>1797</v>
      </c>
      <c r="AB290" s="1" t="s">
        <v>1798</v>
      </c>
      <c r="AC290" s="1" t="s">
        <v>1799</v>
      </c>
      <c r="AD290" s="1" t="s">
        <v>17</v>
      </c>
      <c r="AE290" s="1" t="s">
        <v>1800</v>
      </c>
      <c r="AF290" s="1" t="s">
        <v>19</v>
      </c>
      <c r="AG290" s="1" t="s">
        <v>19</v>
      </c>
      <c r="AH290" s="16">
        <v>68722.91641</v>
      </c>
    </row>
    <row r="291" spans="2:34" ht="15">
      <c r="B291" s="4" t="s">
        <v>153</v>
      </c>
      <c r="C291" s="5">
        <v>43627</v>
      </c>
      <c r="D291" s="4" t="s">
        <v>154</v>
      </c>
      <c r="E291" s="4"/>
      <c r="F291" s="4" t="s">
        <v>3</v>
      </c>
      <c r="G291" s="4" t="s">
        <v>4</v>
      </c>
      <c r="H291" s="4" t="s">
        <v>119</v>
      </c>
      <c r="I291" s="5">
        <v>43626</v>
      </c>
      <c r="J291" s="6">
        <v>0.6865162037037037</v>
      </c>
      <c r="K291" s="5">
        <v>43630</v>
      </c>
      <c r="L291" s="4" t="s">
        <v>6</v>
      </c>
      <c r="M291" s="4"/>
      <c r="N291" s="4" t="s">
        <v>977</v>
      </c>
      <c r="O291" s="4" t="s">
        <v>978</v>
      </c>
      <c r="P291" s="4" t="s">
        <v>979</v>
      </c>
      <c r="Q291" s="4" t="s">
        <v>4</v>
      </c>
      <c r="R291" s="4" t="s">
        <v>4</v>
      </c>
      <c r="S291" s="4" t="s">
        <v>10</v>
      </c>
      <c r="T291" s="4"/>
      <c r="U291" s="4"/>
      <c r="V291" s="4"/>
      <c r="W291" s="4" t="s">
        <v>27</v>
      </c>
      <c r="X291" s="17">
        <v>6444</v>
      </c>
      <c r="Y291" s="17">
        <v>6444</v>
      </c>
      <c r="Z291" s="4" t="s">
        <v>1802</v>
      </c>
      <c r="AA291" s="4" t="s">
        <v>1803</v>
      </c>
      <c r="AB291" s="4" t="s">
        <v>1804</v>
      </c>
      <c r="AC291" s="4" t="s">
        <v>1805</v>
      </c>
      <c r="AD291" s="4" t="s">
        <v>17</v>
      </c>
      <c r="AE291" s="4" t="s">
        <v>1806</v>
      </c>
      <c r="AF291" s="4" t="s">
        <v>19</v>
      </c>
      <c r="AG291" s="4" t="s">
        <v>19</v>
      </c>
      <c r="AH291" s="17">
        <v>15723.97552</v>
      </c>
    </row>
    <row r="292" spans="2:34" ht="15">
      <c r="B292" s="1" t="s">
        <v>153</v>
      </c>
      <c r="C292" s="2">
        <v>43627</v>
      </c>
      <c r="D292" s="1" t="s">
        <v>154</v>
      </c>
      <c r="E292" s="1"/>
      <c r="F292" s="1" t="s">
        <v>3</v>
      </c>
      <c r="G292" s="1" t="s">
        <v>4</v>
      </c>
      <c r="H292" s="1" t="s">
        <v>119</v>
      </c>
      <c r="I292" s="2">
        <v>43626</v>
      </c>
      <c r="J292" s="3">
        <v>0.6249652777777778</v>
      </c>
      <c r="K292" s="2">
        <v>43630</v>
      </c>
      <c r="L292" s="1" t="s">
        <v>6</v>
      </c>
      <c r="M292" s="1"/>
      <c r="N292" s="1" t="s">
        <v>110</v>
      </c>
      <c r="O292" s="1" t="s">
        <v>111</v>
      </c>
      <c r="P292" s="1" t="s">
        <v>112</v>
      </c>
      <c r="Q292" s="1" t="s">
        <v>4</v>
      </c>
      <c r="R292" s="1" t="s">
        <v>4</v>
      </c>
      <c r="S292" s="1" t="s">
        <v>10</v>
      </c>
      <c r="T292" s="1"/>
      <c r="U292" s="1"/>
      <c r="V292" s="1"/>
      <c r="W292" s="1" t="s">
        <v>27</v>
      </c>
      <c r="X292" s="16">
        <v>1477</v>
      </c>
      <c r="Y292" s="16">
        <v>1477</v>
      </c>
      <c r="Z292" s="1" t="s">
        <v>1776</v>
      </c>
      <c r="AA292" s="1" t="s">
        <v>1808</v>
      </c>
      <c r="AB292" s="1" t="s">
        <v>1809</v>
      </c>
      <c r="AC292" s="1" t="s">
        <v>1810</v>
      </c>
      <c r="AD292" s="1" t="s">
        <v>17</v>
      </c>
      <c r="AE292" s="1" t="s">
        <v>17</v>
      </c>
      <c r="AF292" s="1" t="s">
        <v>19</v>
      </c>
      <c r="AG292" s="1" t="s">
        <v>19</v>
      </c>
      <c r="AH292" s="16">
        <v>4114.27212</v>
      </c>
    </row>
    <row r="293" spans="2:34" ht="15">
      <c r="B293" s="4" t="s">
        <v>153</v>
      </c>
      <c r="C293" s="5">
        <v>43627</v>
      </c>
      <c r="D293" s="4" t="s">
        <v>154</v>
      </c>
      <c r="E293" s="4"/>
      <c r="F293" s="4" t="s">
        <v>3</v>
      </c>
      <c r="G293" s="4" t="s">
        <v>4</v>
      </c>
      <c r="H293" s="4" t="s">
        <v>119</v>
      </c>
      <c r="I293" s="5">
        <v>43626</v>
      </c>
      <c r="J293" s="6">
        <v>0.48510416666666667</v>
      </c>
      <c r="K293" s="5">
        <v>43630</v>
      </c>
      <c r="L293" s="4" t="s">
        <v>6</v>
      </c>
      <c r="M293" s="4"/>
      <c r="N293" s="4" t="s">
        <v>214</v>
      </c>
      <c r="O293" s="4" t="s">
        <v>215</v>
      </c>
      <c r="P293" s="4" t="s">
        <v>216</v>
      </c>
      <c r="Q293" s="4" t="s">
        <v>4</v>
      </c>
      <c r="R293" s="4" t="s">
        <v>4</v>
      </c>
      <c r="S293" s="4" t="s">
        <v>10</v>
      </c>
      <c r="T293" s="4"/>
      <c r="U293" s="4"/>
      <c r="V293" s="4"/>
      <c r="W293" s="4" t="s">
        <v>27</v>
      </c>
      <c r="X293" s="17">
        <v>19000</v>
      </c>
      <c r="Y293" s="17">
        <v>19000</v>
      </c>
      <c r="Z293" s="4" t="s">
        <v>1812</v>
      </c>
      <c r="AA293" s="4" t="s">
        <v>1813</v>
      </c>
      <c r="AB293" s="4" t="s">
        <v>1814</v>
      </c>
      <c r="AC293" s="4" t="s">
        <v>1815</v>
      </c>
      <c r="AD293" s="4" t="s">
        <v>17</v>
      </c>
      <c r="AE293" s="4" t="s">
        <v>1816</v>
      </c>
      <c r="AF293" s="4" t="s">
        <v>19</v>
      </c>
      <c r="AG293" s="4" t="s">
        <v>19</v>
      </c>
      <c r="AH293" s="17">
        <v>36832.39</v>
      </c>
    </row>
    <row r="294" spans="2:34" ht="15">
      <c r="B294" s="1" t="s">
        <v>153</v>
      </c>
      <c r="C294" s="2">
        <v>43627</v>
      </c>
      <c r="D294" s="1" t="s">
        <v>154</v>
      </c>
      <c r="E294" s="1"/>
      <c r="F294" s="1" t="s">
        <v>3</v>
      </c>
      <c r="G294" s="1" t="s">
        <v>4</v>
      </c>
      <c r="H294" s="1" t="s">
        <v>90</v>
      </c>
      <c r="I294" s="2">
        <v>43626</v>
      </c>
      <c r="J294" s="3">
        <v>0.6571875</v>
      </c>
      <c r="K294" s="2">
        <v>43630</v>
      </c>
      <c r="L294" s="1" t="s">
        <v>6</v>
      </c>
      <c r="M294" s="1"/>
      <c r="N294" s="1" t="s">
        <v>326</v>
      </c>
      <c r="O294" s="1" t="s">
        <v>327</v>
      </c>
      <c r="P294" s="1" t="s">
        <v>328</v>
      </c>
      <c r="Q294" s="1" t="s">
        <v>4</v>
      </c>
      <c r="R294" s="1" t="s">
        <v>4</v>
      </c>
      <c r="S294" s="1" t="s">
        <v>10</v>
      </c>
      <c r="T294" s="1"/>
      <c r="U294" s="1"/>
      <c r="V294" s="1"/>
      <c r="W294" s="1" t="s">
        <v>27</v>
      </c>
      <c r="X294" s="16">
        <v>7270</v>
      </c>
      <c r="Y294" s="16">
        <v>7270</v>
      </c>
      <c r="Z294" s="1" t="s">
        <v>1818</v>
      </c>
      <c r="AA294" s="1" t="s">
        <v>1819</v>
      </c>
      <c r="AB294" s="1" t="s">
        <v>1820</v>
      </c>
      <c r="AC294" s="1" t="s">
        <v>1821</v>
      </c>
      <c r="AD294" s="1" t="s">
        <v>17</v>
      </c>
      <c r="AE294" s="1" t="s">
        <v>1822</v>
      </c>
      <c r="AF294" s="1" t="s">
        <v>19</v>
      </c>
      <c r="AG294" s="1" t="s">
        <v>19</v>
      </c>
      <c r="AH294" s="16">
        <v>53271.91246</v>
      </c>
    </row>
    <row r="295" spans="2:34" ht="15">
      <c r="B295" s="4" t="s">
        <v>153</v>
      </c>
      <c r="C295" s="5">
        <v>43627</v>
      </c>
      <c r="D295" s="4" t="s">
        <v>154</v>
      </c>
      <c r="E295" s="4"/>
      <c r="F295" s="4" t="s">
        <v>3</v>
      </c>
      <c r="G295" s="4" t="s">
        <v>4</v>
      </c>
      <c r="H295" s="4" t="s">
        <v>119</v>
      </c>
      <c r="I295" s="5">
        <v>43626</v>
      </c>
      <c r="J295" s="6">
        <v>0.6241087962962963</v>
      </c>
      <c r="K295" s="5">
        <v>43630</v>
      </c>
      <c r="L295" s="4" t="s">
        <v>6</v>
      </c>
      <c r="M295" s="4"/>
      <c r="N295" s="4" t="s">
        <v>223</v>
      </c>
      <c r="O295" s="4" t="s">
        <v>224</v>
      </c>
      <c r="P295" s="4" t="s">
        <v>225</v>
      </c>
      <c r="Q295" s="4" t="s">
        <v>4</v>
      </c>
      <c r="R295" s="4" t="s">
        <v>4</v>
      </c>
      <c r="S295" s="4" t="s">
        <v>10</v>
      </c>
      <c r="T295" s="4"/>
      <c r="U295" s="4"/>
      <c r="V295" s="4"/>
      <c r="W295" s="4" t="s">
        <v>27</v>
      </c>
      <c r="X295" s="17">
        <v>35100</v>
      </c>
      <c r="Y295" s="17">
        <v>35100</v>
      </c>
      <c r="Z295" s="4" t="s">
        <v>1823</v>
      </c>
      <c r="AA295" s="4" t="s">
        <v>1824</v>
      </c>
      <c r="AB295" s="4" t="s">
        <v>1825</v>
      </c>
      <c r="AC295" s="4" t="s">
        <v>1826</v>
      </c>
      <c r="AD295" s="4" t="s">
        <v>17</v>
      </c>
      <c r="AE295" s="4" t="s">
        <v>1827</v>
      </c>
      <c r="AF295" s="4" t="s">
        <v>19</v>
      </c>
      <c r="AG295" s="4" t="s">
        <v>19</v>
      </c>
      <c r="AH295" s="17">
        <v>75111.355</v>
      </c>
    </row>
    <row r="296" spans="2:34" ht="15">
      <c r="B296" s="1" t="s">
        <v>153</v>
      </c>
      <c r="C296" s="2">
        <v>43627</v>
      </c>
      <c r="D296" s="1" t="s">
        <v>154</v>
      </c>
      <c r="E296" s="1"/>
      <c r="F296" s="1" t="s">
        <v>3</v>
      </c>
      <c r="G296" s="1" t="s">
        <v>4</v>
      </c>
      <c r="H296" s="1" t="s">
        <v>119</v>
      </c>
      <c r="I296" s="2">
        <v>43626</v>
      </c>
      <c r="J296" s="3">
        <v>0.6443287037037037</v>
      </c>
      <c r="K296" s="2">
        <v>43630</v>
      </c>
      <c r="L296" s="1" t="s">
        <v>6</v>
      </c>
      <c r="M296" s="1"/>
      <c r="N296" s="1" t="s">
        <v>297</v>
      </c>
      <c r="O296" s="1" t="s">
        <v>298</v>
      </c>
      <c r="P296" s="1" t="s">
        <v>299</v>
      </c>
      <c r="Q296" s="1" t="s">
        <v>4</v>
      </c>
      <c r="R296" s="1" t="s">
        <v>4</v>
      </c>
      <c r="S296" s="1" t="s">
        <v>10</v>
      </c>
      <c r="T296" s="1"/>
      <c r="U296" s="1"/>
      <c r="V296" s="1"/>
      <c r="W296" s="1" t="s">
        <v>27</v>
      </c>
      <c r="X296" s="16">
        <v>3130</v>
      </c>
      <c r="Y296" s="16">
        <v>3130</v>
      </c>
      <c r="Z296" s="1" t="s">
        <v>1829</v>
      </c>
      <c r="AA296" s="1" t="s">
        <v>1830</v>
      </c>
      <c r="AB296" s="1" t="s">
        <v>1831</v>
      </c>
      <c r="AC296" s="1" t="s">
        <v>1832</v>
      </c>
      <c r="AD296" s="1" t="s">
        <v>17</v>
      </c>
      <c r="AE296" s="1" t="s">
        <v>1833</v>
      </c>
      <c r="AF296" s="1" t="s">
        <v>19</v>
      </c>
      <c r="AG296" s="1" t="s">
        <v>19</v>
      </c>
      <c r="AH296" s="16">
        <v>47075.88544</v>
      </c>
    </row>
    <row r="297" spans="2:34" ht="15">
      <c r="B297" s="4" t="s">
        <v>153</v>
      </c>
      <c r="C297" s="5">
        <v>43627</v>
      </c>
      <c r="D297" s="4" t="s">
        <v>154</v>
      </c>
      <c r="E297" s="4"/>
      <c r="F297" s="4" t="s">
        <v>3</v>
      </c>
      <c r="G297" s="4" t="s">
        <v>4</v>
      </c>
      <c r="H297" s="4" t="s">
        <v>786</v>
      </c>
      <c r="I297" s="5">
        <v>43626</v>
      </c>
      <c r="J297" s="6">
        <v>0.45902777777777776</v>
      </c>
      <c r="K297" s="5">
        <v>43630</v>
      </c>
      <c r="L297" s="4" t="s">
        <v>6</v>
      </c>
      <c r="M297" s="4"/>
      <c r="N297" s="4" t="s">
        <v>382</v>
      </c>
      <c r="O297" s="4" t="s">
        <v>383</v>
      </c>
      <c r="P297" s="4" t="s">
        <v>1387</v>
      </c>
      <c r="Q297" s="4" t="s">
        <v>4</v>
      </c>
      <c r="R297" s="4" t="s">
        <v>4</v>
      </c>
      <c r="S297" s="4" t="s">
        <v>10</v>
      </c>
      <c r="T297" s="4"/>
      <c r="U297" s="4"/>
      <c r="V297" s="4"/>
      <c r="W297" s="4" t="s">
        <v>27</v>
      </c>
      <c r="X297" s="17">
        <v>3250</v>
      </c>
      <c r="Y297" s="17">
        <v>3250</v>
      </c>
      <c r="Z297" s="4" t="s">
        <v>1835</v>
      </c>
      <c r="AA297" s="4" t="s">
        <v>1836</v>
      </c>
      <c r="AB297" s="4" t="s">
        <v>1837</v>
      </c>
      <c r="AC297" s="4" t="s">
        <v>1838</v>
      </c>
      <c r="AD297" s="4" t="s">
        <v>17</v>
      </c>
      <c r="AE297" s="4" t="s">
        <v>1839</v>
      </c>
      <c r="AF297" s="4" t="s">
        <v>19</v>
      </c>
      <c r="AG297" s="4" t="s">
        <v>19</v>
      </c>
      <c r="AH297" s="17">
        <v>37965.28</v>
      </c>
    </row>
    <row r="298" spans="2:34" ht="15">
      <c r="B298" s="1" t="s">
        <v>153</v>
      </c>
      <c r="C298" s="2">
        <v>43627</v>
      </c>
      <c r="D298" s="1" t="s">
        <v>154</v>
      </c>
      <c r="E298" s="1"/>
      <c r="F298" s="1" t="s">
        <v>3</v>
      </c>
      <c r="G298" s="1" t="s">
        <v>4</v>
      </c>
      <c r="H298" s="1" t="s">
        <v>119</v>
      </c>
      <c r="I298" s="2">
        <v>43626</v>
      </c>
      <c r="J298" s="3">
        <v>0.5404398148148148</v>
      </c>
      <c r="K298" s="2">
        <v>43630</v>
      </c>
      <c r="L298" s="1" t="s">
        <v>6</v>
      </c>
      <c r="M298" s="1"/>
      <c r="N298" s="1" t="s">
        <v>316</v>
      </c>
      <c r="O298" s="1" t="s">
        <v>317</v>
      </c>
      <c r="P298" s="1" t="s">
        <v>318</v>
      </c>
      <c r="Q298" s="1" t="s">
        <v>4</v>
      </c>
      <c r="R298" s="1" t="s">
        <v>4</v>
      </c>
      <c r="S298" s="1" t="s">
        <v>10</v>
      </c>
      <c r="T298" s="1"/>
      <c r="U298" s="1"/>
      <c r="V298" s="1"/>
      <c r="W298" s="1" t="s">
        <v>27</v>
      </c>
      <c r="X298" s="16">
        <v>458</v>
      </c>
      <c r="Y298" s="16">
        <v>458</v>
      </c>
      <c r="Z298" s="1" t="s">
        <v>1841</v>
      </c>
      <c r="AA298" s="1" t="s">
        <v>1842</v>
      </c>
      <c r="AB298" s="1" t="s">
        <v>1843</v>
      </c>
      <c r="AC298" s="1" t="s">
        <v>1844</v>
      </c>
      <c r="AD298" s="1" t="s">
        <v>17</v>
      </c>
      <c r="AE298" s="1" t="s">
        <v>1845</v>
      </c>
      <c r="AF298" s="1" t="s">
        <v>19</v>
      </c>
      <c r="AG298" s="1" t="s">
        <v>19</v>
      </c>
      <c r="AH298" s="16">
        <v>705.65148</v>
      </c>
    </row>
    <row r="299" spans="2:34" ht="15">
      <c r="B299" s="4" t="s">
        <v>153</v>
      </c>
      <c r="C299" s="5">
        <v>43627</v>
      </c>
      <c r="D299" s="4" t="s">
        <v>154</v>
      </c>
      <c r="E299" s="4"/>
      <c r="F299" s="4" t="s">
        <v>3</v>
      </c>
      <c r="G299" s="4" t="s">
        <v>4</v>
      </c>
      <c r="H299" s="4" t="s">
        <v>119</v>
      </c>
      <c r="I299" s="5">
        <v>43627</v>
      </c>
      <c r="J299" s="6">
        <v>0.4436574074074074</v>
      </c>
      <c r="K299" s="5">
        <v>43630</v>
      </c>
      <c r="L299" s="4" t="s">
        <v>6</v>
      </c>
      <c r="M299" s="4"/>
      <c r="N299" s="4" t="s">
        <v>977</v>
      </c>
      <c r="O299" s="4" t="s">
        <v>978</v>
      </c>
      <c r="P299" s="4" t="s">
        <v>979</v>
      </c>
      <c r="Q299" s="4" t="s">
        <v>4</v>
      </c>
      <c r="R299" s="4" t="s">
        <v>4</v>
      </c>
      <c r="S299" s="4" t="s">
        <v>10</v>
      </c>
      <c r="T299" s="4"/>
      <c r="U299" s="4"/>
      <c r="V299" s="4"/>
      <c r="W299" s="4" t="s">
        <v>27</v>
      </c>
      <c r="X299" s="17">
        <v>16856</v>
      </c>
      <c r="Y299" s="17">
        <v>16856</v>
      </c>
      <c r="Z299" s="4" t="s">
        <v>1847</v>
      </c>
      <c r="AA299" s="4" t="s">
        <v>1848</v>
      </c>
      <c r="AB299" s="4" t="s">
        <v>1849</v>
      </c>
      <c r="AC299" s="4" t="s">
        <v>1850</v>
      </c>
      <c r="AD299" s="4" t="s">
        <v>17</v>
      </c>
      <c r="AE299" s="4" t="s">
        <v>1851</v>
      </c>
      <c r="AF299" s="4" t="s">
        <v>19</v>
      </c>
      <c r="AG299" s="4" t="s">
        <v>19</v>
      </c>
      <c r="AH299" s="17">
        <v>42096.91576</v>
      </c>
    </row>
    <row r="300" spans="2:34" ht="15">
      <c r="B300" s="1" t="s">
        <v>0</v>
      </c>
      <c r="C300" s="2">
        <v>43628</v>
      </c>
      <c r="D300" s="1" t="s">
        <v>1</v>
      </c>
      <c r="E300" s="1" t="s">
        <v>118</v>
      </c>
      <c r="F300" s="1" t="s">
        <v>3</v>
      </c>
      <c r="G300" s="1" t="s">
        <v>4</v>
      </c>
      <c r="H300" s="1" t="s">
        <v>119</v>
      </c>
      <c r="I300" s="2">
        <v>43628</v>
      </c>
      <c r="J300" s="3">
        <v>0.4463773148148148</v>
      </c>
      <c r="K300" s="2">
        <v>43630</v>
      </c>
      <c r="L300" s="1" t="s">
        <v>6</v>
      </c>
      <c r="M300" s="1"/>
      <c r="N300" s="1" t="s">
        <v>136</v>
      </c>
      <c r="O300" s="1" t="s">
        <v>137</v>
      </c>
      <c r="P300" s="1" t="s">
        <v>1852</v>
      </c>
      <c r="Q300" s="1" t="s">
        <v>4</v>
      </c>
      <c r="R300" s="1" t="s">
        <v>4</v>
      </c>
      <c r="S300" s="1" t="s">
        <v>10</v>
      </c>
      <c r="T300" s="1"/>
      <c r="U300" s="1"/>
      <c r="V300" s="1"/>
      <c r="W300" s="1" t="s">
        <v>27</v>
      </c>
      <c r="X300" s="16">
        <v>72000</v>
      </c>
      <c r="Y300" s="16">
        <v>72000</v>
      </c>
      <c r="Z300" s="1" t="s">
        <v>1853</v>
      </c>
      <c r="AA300" s="1" t="s">
        <v>1854</v>
      </c>
      <c r="AB300" s="1" t="s">
        <v>1855</v>
      </c>
      <c r="AC300" s="1" t="s">
        <v>1856</v>
      </c>
      <c r="AD300" s="1" t="s">
        <v>17</v>
      </c>
      <c r="AE300" s="1" t="s">
        <v>17</v>
      </c>
      <c r="AF300" s="1" t="s">
        <v>19</v>
      </c>
      <c r="AG300" s="1" t="s">
        <v>19</v>
      </c>
      <c r="AH300" s="16">
        <v>246660.8705</v>
      </c>
    </row>
    <row r="301" spans="2:34" ht="15">
      <c r="B301" s="4" t="s">
        <v>153</v>
      </c>
      <c r="C301" s="5">
        <v>43628</v>
      </c>
      <c r="D301" s="4" t="s">
        <v>154</v>
      </c>
      <c r="E301" s="4" t="s">
        <v>1857</v>
      </c>
      <c r="F301" s="4" t="s">
        <v>3</v>
      </c>
      <c r="G301" s="4" t="s">
        <v>4</v>
      </c>
      <c r="H301" s="4" t="s">
        <v>119</v>
      </c>
      <c r="I301" s="5">
        <v>43627</v>
      </c>
      <c r="J301" s="6">
        <v>0.5551157407407408</v>
      </c>
      <c r="K301" s="5">
        <v>43630</v>
      </c>
      <c r="L301" s="4" t="s">
        <v>6</v>
      </c>
      <c r="M301" s="4"/>
      <c r="N301" s="4" t="s">
        <v>250</v>
      </c>
      <c r="O301" s="4" t="s">
        <v>251</v>
      </c>
      <c r="P301" s="4" t="s">
        <v>1858</v>
      </c>
      <c r="Q301" s="4" t="s">
        <v>4</v>
      </c>
      <c r="R301" s="4" t="s">
        <v>4</v>
      </c>
      <c r="S301" s="4" t="s">
        <v>10</v>
      </c>
      <c r="T301" s="4"/>
      <c r="U301" s="4"/>
      <c r="V301" s="4"/>
      <c r="W301" s="4" t="s">
        <v>27</v>
      </c>
      <c r="X301" s="17">
        <v>19927</v>
      </c>
      <c r="Y301" s="17">
        <v>19927</v>
      </c>
      <c r="Z301" s="4" t="s">
        <v>1860</v>
      </c>
      <c r="AA301" s="4" t="s">
        <v>1861</v>
      </c>
      <c r="AB301" s="4" t="s">
        <v>1862</v>
      </c>
      <c r="AC301" s="4" t="s">
        <v>1863</v>
      </c>
      <c r="AD301" s="4" t="s">
        <v>17</v>
      </c>
      <c r="AE301" s="4" t="s">
        <v>1864</v>
      </c>
      <c r="AF301" s="4" t="s">
        <v>19</v>
      </c>
      <c r="AG301" s="4" t="s">
        <v>19</v>
      </c>
      <c r="AH301" s="17">
        <v>65073.02455</v>
      </c>
    </row>
    <row r="302" spans="2:34" ht="15">
      <c r="B302" s="1" t="s">
        <v>153</v>
      </c>
      <c r="C302" s="2">
        <v>43629</v>
      </c>
      <c r="D302" s="1" t="s">
        <v>154</v>
      </c>
      <c r="E302" s="1" t="s">
        <v>1865</v>
      </c>
      <c r="F302" s="1" t="s">
        <v>3</v>
      </c>
      <c r="G302" s="1" t="s">
        <v>4</v>
      </c>
      <c r="H302" s="1" t="s">
        <v>1277</v>
      </c>
      <c r="I302" s="2">
        <v>43628</v>
      </c>
      <c r="J302" s="3">
        <v>0.6479166666666667</v>
      </c>
      <c r="K302" s="2">
        <v>43630</v>
      </c>
      <c r="L302" s="1" t="s">
        <v>6</v>
      </c>
      <c r="M302" s="1"/>
      <c r="N302" s="1" t="s">
        <v>1407</v>
      </c>
      <c r="O302" s="1" t="s">
        <v>1408</v>
      </c>
      <c r="P302" s="1" t="s">
        <v>1550</v>
      </c>
      <c r="Q302" s="1" t="s">
        <v>4</v>
      </c>
      <c r="R302" s="1" t="s">
        <v>4</v>
      </c>
      <c r="S302" s="1" t="s">
        <v>10</v>
      </c>
      <c r="T302" s="1"/>
      <c r="U302" s="1"/>
      <c r="V302" s="1"/>
      <c r="W302" s="1" t="s">
        <v>27</v>
      </c>
      <c r="X302" s="16">
        <v>2750</v>
      </c>
      <c r="Y302" s="16">
        <v>2750</v>
      </c>
      <c r="Z302" s="1" t="s">
        <v>1552</v>
      </c>
      <c r="AA302" s="1" t="s">
        <v>1867</v>
      </c>
      <c r="AB302" s="1" t="s">
        <v>1868</v>
      </c>
      <c r="AC302" s="1" t="s">
        <v>1869</v>
      </c>
      <c r="AD302" s="1" t="s">
        <v>17</v>
      </c>
      <c r="AE302" s="1" t="s">
        <v>17</v>
      </c>
      <c r="AF302" s="1" t="s">
        <v>19</v>
      </c>
      <c r="AG302" s="1" t="s">
        <v>19</v>
      </c>
      <c r="AH302" s="16">
        <v>5882.9925</v>
      </c>
    </row>
    <row r="303" spans="2:34" ht="15">
      <c r="B303" s="4" t="s">
        <v>0</v>
      </c>
      <c r="C303" s="5">
        <v>43630</v>
      </c>
      <c r="D303" s="4" t="s">
        <v>1</v>
      </c>
      <c r="E303" s="4" t="s">
        <v>435</v>
      </c>
      <c r="F303" s="4" t="s">
        <v>3</v>
      </c>
      <c r="G303" s="4" t="s">
        <v>4</v>
      </c>
      <c r="H303" s="4" t="s">
        <v>325</v>
      </c>
      <c r="I303" s="5">
        <v>43629</v>
      </c>
      <c r="J303" s="6">
        <v>0.4750347222222222</v>
      </c>
      <c r="K303" s="5">
        <v>43633</v>
      </c>
      <c r="L303" s="4" t="s">
        <v>6</v>
      </c>
      <c r="M303" s="4"/>
      <c r="N303" s="4" t="s">
        <v>316</v>
      </c>
      <c r="O303" s="4" t="s">
        <v>317</v>
      </c>
      <c r="P303" s="4" t="s">
        <v>1871</v>
      </c>
      <c r="Q303" s="4" t="s">
        <v>4</v>
      </c>
      <c r="R303" s="4" t="s">
        <v>4</v>
      </c>
      <c r="S303" s="4" t="s">
        <v>10</v>
      </c>
      <c r="T303" s="4"/>
      <c r="U303" s="4"/>
      <c r="V303" s="4"/>
      <c r="W303" s="4" t="s">
        <v>27</v>
      </c>
      <c r="X303" s="17">
        <v>35000</v>
      </c>
      <c r="Y303" s="17">
        <v>35000</v>
      </c>
      <c r="Z303" s="4" t="s">
        <v>1873</v>
      </c>
      <c r="AA303" s="4" t="s">
        <v>1874</v>
      </c>
      <c r="AB303" s="4" t="s">
        <v>1875</v>
      </c>
      <c r="AC303" s="4" t="s">
        <v>1876</v>
      </c>
      <c r="AD303" s="4" t="s">
        <v>17</v>
      </c>
      <c r="AE303" s="4" t="s">
        <v>1877</v>
      </c>
      <c r="AF303" s="4" t="s">
        <v>19</v>
      </c>
      <c r="AG303" s="4" t="s">
        <v>19</v>
      </c>
      <c r="AH303" s="17">
        <v>54455.07</v>
      </c>
    </row>
    <row r="304" spans="2:34" ht="15">
      <c r="B304" s="4" t="s">
        <v>0</v>
      </c>
      <c r="C304" s="5">
        <v>43633</v>
      </c>
      <c r="D304" s="4" t="s">
        <v>1</v>
      </c>
      <c r="E304" s="4" t="s">
        <v>488</v>
      </c>
      <c r="F304" s="4" t="s">
        <v>3</v>
      </c>
      <c r="G304" s="4" t="s">
        <v>4</v>
      </c>
      <c r="H304" s="4" t="s">
        <v>325</v>
      </c>
      <c r="I304" s="5">
        <v>43629</v>
      </c>
      <c r="J304" s="6">
        <v>0.4750347222222222</v>
      </c>
      <c r="K304" s="5">
        <v>43633</v>
      </c>
      <c r="L304" s="4" t="s">
        <v>6</v>
      </c>
      <c r="M304" s="4"/>
      <c r="N304" s="4" t="s">
        <v>316</v>
      </c>
      <c r="O304" s="4" t="s">
        <v>317</v>
      </c>
      <c r="P304" s="4" t="s">
        <v>1871</v>
      </c>
      <c r="Q304" s="4" t="s">
        <v>4</v>
      </c>
      <c r="R304" s="4" t="s">
        <v>4</v>
      </c>
      <c r="S304" s="4" t="s">
        <v>10</v>
      </c>
      <c r="T304" s="4"/>
      <c r="U304" s="4"/>
      <c r="V304" s="4"/>
      <c r="W304" s="4" t="s">
        <v>27</v>
      </c>
      <c r="X304" s="17">
        <v>22085</v>
      </c>
      <c r="Y304" s="17">
        <v>22085</v>
      </c>
      <c r="Z304" s="4" t="s">
        <v>1873</v>
      </c>
      <c r="AA304" s="4" t="s">
        <v>1879</v>
      </c>
      <c r="AB304" s="4" t="s">
        <v>1880</v>
      </c>
      <c r="AC304" s="4" t="s">
        <v>1881</v>
      </c>
      <c r="AD304" s="4" t="s">
        <v>17</v>
      </c>
      <c r="AE304" s="4" t="s">
        <v>1882</v>
      </c>
      <c r="AF304" s="4" t="s">
        <v>19</v>
      </c>
      <c r="AG304" s="4" t="s">
        <v>19</v>
      </c>
      <c r="AH304" s="17">
        <v>34361.51765</v>
      </c>
    </row>
    <row r="305" spans="2:34" ht="15">
      <c r="B305" s="1" t="s">
        <v>0</v>
      </c>
      <c r="C305" s="2">
        <v>43633</v>
      </c>
      <c r="D305" s="1" t="s">
        <v>1</v>
      </c>
      <c r="E305" s="1" t="s">
        <v>526</v>
      </c>
      <c r="F305" s="1" t="s">
        <v>3</v>
      </c>
      <c r="G305" s="1" t="s">
        <v>4</v>
      </c>
      <c r="H305" s="1" t="s">
        <v>632</v>
      </c>
      <c r="I305" s="2">
        <v>43630</v>
      </c>
      <c r="J305" s="3">
        <v>0.6875</v>
      </c>
      <c r="K305" s="2">
        <v>43634</v>
      </c>
      <c r="L305" s="1" t="s">
        <v>6</v>
      </c>
      <c r="M305" s="1"/>
      <c r="N305" s="1" t="s">
        <v>316</v>
      </c>
      <c r="O305" s="1" t="s">
        <v>317</v>
      </c>
      <c r="P305" s="1" t="s">
        <v>318</v>
      </c>
      <c r="Q305" s="1" t="s">
        <v>4</v>
      </c>
      <c r="R305" s="1" t="s">
        <v>4</v>
      </c>
      <c r="S305" s="1" t="s">
        <v>10</v>
      </c>
      <c r="T305" s="1"/>
      <c r="U305" s="1"/>
      <c r="V305" s="1"/>
      <c r="W305" s="1" t="s">
        <v>27</v>
      </c>
      <c r="X305" s="16">
        <v>15775</v>
      </c>
      <c r="Y305" s="16">
        <v>15775</v>
      </c>
      <c r="Z305" s="1" t="s">
        <v>1884</v>
      </c>
      <c r="AA305" s="1" t="s">
        <v>1885</v>
      </c>
      <c r="AB305" s="1" t="s">
        <v>1886</v>
      </c>
      <c r="AC305" s="1" t="s">
        <v>1887</v>
      </c>
      <c r="AD305" s="1" t="s">
        <v>17</v>
      </c>
      <c r="AE305" s="1" t="s">
        <v>1888</v>
      </c>
      <c r="AF305" s="1" t="s">
        <v>19</v>
      </c>
      <c r="AG305" s="1" t="s">
        <v>19</v>
      </c>
      <c r="AH305" s="16">
        <v>24782.508</v>
      </c>
    </row>
    <row r="306" spans="2:34" ht="15">
      <c r="B306" s="1" t="s">
        <v>153</v>
      </c>
      <c r="C306" s="2">
        <v>43633</v>
      </c>
      <c r="D306" s="1" t="s">
        <v>154</v>
      </c>
      <c r="E306" s="1" t="s">
        <v>1598</v>
      </c>
      <c r="F306" s="1" t="s">
        <v>3</v>
      </c>
      <c r="G306" s="1" t="s">
        <v>4</v>
      </c>
      <c r="H306" s="1" t="s">
        <v>126</v>
      </c>
      <c r="I306" s="2">
        <v>43630</v>
      </c>
      <c r="J306" s="3">
        <v>0.5208333333333334</v>
      </c>
      <c r="K306" s="2">
        <v>43634</v>
      </c>
      <c r="L306" s="1" t="s">
        <v>6</v>
      </c>
      <c r="M306" s="1"/>
      <c r="N306" s="1" t="s">
        <v>1557</v>
      </c>
      <c r="O306" s="1" t="s">
        <v>1574</v>
      </c>
      <c r="P306" s="1" t="s">
        <v>1559</v>
      </c>
      <c r="Q306" s="1" t="s">
        <v>4</v>
      </c>
      <c r="R306" s="1" t="s">
        <v>4</v>
      </c>
      <c r="S306" s="1" t="s">
        <v>10</v>
      </c>
      <c r="T306" s="1"/>
      <c r="U306" s="1"/>
      <c r="V306" s="1"/>
      <c r="W306" s="1" t="s">
        <v>27</v>
      </c>
      <c r="X306" s="16">
        <v>4822</v>
      </c>
      <c r="Y306" s="16">
        <v>4822</v>
      </c>
      <c r="Z306" s="1" t="s">
        <v>1594</v>
      </c>
      <c r="AA306" s="1" t="s">
        <v>1890</v>
      </c>
      <c r="AB306" s="1" t="s">
        <v>1891</v>
      </c>
      <c r="AC306" s="1" t="s">
        <v>1892</v>
      </c>
      <c r="AD306" s="1" t="s">
        <v>17</v>
      </c>
      <c r="AE306" s="1" t="s">
        <v>17</v>
      </c>
      <c r="AF306" s="1" t="s">
        <v>19</v>
      </c>
      <c r="AG306" s="1" t="s">
        <v>19</v>
      </c>
      <c r="AH306" s="16">
        <v>7078.35846</v>
      </c>
    </row>
    <row r="307" spans="2:34" ht="15">
      <c r="B307" s="4" t="s">
        <v>153</v>
      </c>
      <c r="C307" s="5">
        <v>43633</v>
      </c>
      <c r="D307" s="4" t="s">
        <v>154</v>
      </c>
      <c r="E307" s="4" t="s">
        <v>1893</v>
      </c>
      <c r="F307" s="4" t="s">
        <v>3</v>
      </c>
      <c r="G307" s="4" t="s">
        <v>4</v>
      </c>
      <c r="H307" s="4" t="s">
        <v>119</v>
      </c>
      <c r="I307" s="5">
        <v>43630</v>
      </c>
      <c r="J307" s="6">
        <v>0.6855092592592592</v>
      </c>
      <c r="K307" s="5">
        <v>43634</v>
      </c>
      <c r="L307" s="4" t="s">
        <v>6</v>
      </c>
      <c r="M307" s="4"/>
      <c r="N307" s="4" t="s">
        <v>450</v>
      </c>
      <c r="O307" s="4" t="s">
        <v>1894</v>
      </c>
      <c r="P307" s="4" t="s">
        <v>452</v>
      </c>
      <c r="Q307" s="4" t="s">
        <v>4</v>
      </c>
      <c r="R307" s="4" t="s">
        <v>4</v>
      </c>
      <c r="S307" s="4" t="s">
        <v>10</v>
      </c>
      <c r="T307" s="4"/>
      <c r="U307" s="4"/>
      <c r="V307" s="4"/>
      <c r="W307" s="4" t="s">
        <v>27</v>
      </c>
      <c r="X307" s="17">
        <v>37</v>
      </c>
      <c r="Y307" s="17">
        <v>37</v>
      </c>
      <c r="Z307" s="4" t="s">
        <v>1539</v>
      </c>
      <c r="AA307" s="4" t="s">
        <v>1895</v>
      </c>
      <c r="AB307" s="4" t="s">
        <v>1896</v>
      </c>
      <c r="AC307" s="4" t="s">
        <v>1897</v>
      </c>
      <c r="AD307" s="4" t="s">
        <v>17</v>
      </c>
      <c r="AE307" s="4" t="s">
        <v>17</v>
      </c>
      <c r="AF307" s="4" t="s">
        <v>19</v>
      </c>
      <c r="AG307" s="4" t="s">
        <v>19</v>
      </c>
      <c r="AH307" s="17">
        <v>218.7366</v>
      </c>
    </row>
    <row r="308" spans="2:34" ht="15">
      <c r="B308" s="1" t="s">
        <v>153</v>
      </c>
      <c r="C308" s="2">
        <v>43633</v>
      </c>
      <c r="D308" s="1" t="s">
        <v>154</v>
      </c>
      <c r="E308" s="1" t="s">
        <v>1898</v>
      </c>
      <c r="F308" s="1" t="s">
        <v>3</v>
      </c>
      <c r="G308" s="1" t="s">
        <v>4</v>
      </c>
      <c r="H308" s="1" t="s">
        <v>632</v>
      </c>
      <c r="I308" s="2">
        <v>43630</v>
      </c>
      <c r="J308" s="3">
        <v>0.6875</v>
      </c>
      <c r="K308" s="2">
        <v>43634</v>
      </c>
      <c r="L308" s="1" t="s">
        <v>6</v>
      </c>
      <c r="M308" s="1"/>
      <c r="N308" s="1" t="s">
        <v>316</v>
      </c>
      <c r="O308" s="1" t="s">
        <v>317</v>
      </c>
      <c r="P308" s="1" t="s">
        <v>318</v>
      </c>
      <c r="Q308" s="1" t="s">
        <v>4</v>
      </c>
      <c r="R308" s="1" t="s">
        <v>4</v>
      </c>
      <c r="S308" s="1" t="s">
        <v>10</v>
      </c>
      <c r="T308" s="1"/>
      <c r="U308" s="1"/>
      <c r="V308" s="1"/>
      <c r="W308" s="1" t="s">
        <v>27</v>
      </c>
      <c r="X308" s="16">
        <v>9225</v>
      </c>
      <c r="Y308" s="16">
        <v>9225</v>
      </c>
      <c r="Z308" s="1" t="s">
        <v>1884</v>
      </c>
      <c r="AA308" s="1" t="s">
        <v>1900</v>
      </c>
      <c r="AB308" s="1" t="s">
        <v>1901</v>
      </c>
      <c r="AC308" s="1" t="s">
        <v>1902</v>
      </c>
      <c r="AD308" s="1" t="s">
        <v>17</v>
      </c>
      <c r="AE308" s="1" t="s">
        <v>1903</v>
      </c>
      <c r="AF308" s="1" t="s">
        <v>19</v>
      </c>
      <c r="AG308" s="1" t="s">
        <v>19</v>
      </c>
      <c r="AH308" s="16">
        <v>14492.882</v>
      </c>
    </row>
    <row r="309" spans="2:34" ht="15">
      <c r="B309" s="4" t="s">
        <v>153</v>
      </c>
      <c r="C309" s="5">
        <v>43633</v>
      </c>
      <c r="D309" s="4" t="s">
        <v>154</v>
      </c>
      <c r="E309" s="4" t="s">
        <v>1904</v>
      </c>
      <c r="F309" s="4" t="s">
        <v>3</v>
      </c>
      <c r="G309" s="4" t="s">
        <v>4</v>
      </c>
      <c r="H309" s="4" t="s">
        <v>325</v>
      </c>
      <c r="I309" s="5">
        <v>43629</v>
      </c>
      <c r="J309" s="6">
        <v>0.4750347222222222</v>
      </c>
      <c r="K309" s="5">
        <v>43633</v>
      </c>
      <c r="L309" s="4" t="s">
        <v>6</v>
      </c>
      <c r="M309" s="4"/>
      <c r="N309" s="4" t="s">
        <v>316</v>
      </c>
      <c r="O309" s="4" t="s">
        <v>317</v>
      </c>
      <c r="P309" s="4" t="s">
        <v>1871</v>
      </c>
      <c r="Q309" s="4" t="s">
        <v>4</v>
      </c>
      <c r="R309" s="4" t="s">
        <v>4</v>
      </c>
      <c r="S309" s="4" t="s">
        <v>10</v>
      </c>
      <c r="T309" s="4"/>
      <c r="U309" s="4"/>
      <c r="V309" s="4"/>
      <c r="W309" s="4" t="s">
        <v>27</v>
      </c>
      <c r="X309" s="17">
        <v>12915</v>
      </c>
      <c r="Y309" s="17">
        <v>12915</v>
      </c>
      <c r="Z309" s="4" t="s">
        <v>1873</v>
      </c>
      <c r="AA309" s="4" t="s">
        <v>1906</v>
      </c>
      <c r="AB309" s="4" t="s">
        <v>1907</v>
      </c>
      <c r="AC309" s="4" t="s">
        <v>1908</v>
      </c>
      <c r="AD309" s="4" t="s">
        <v>17</v>
      </c>
      <c r="AE309" s="4" t="s">
        <v>1909</v>
      </c>
      <c r="AF309" s="4" t="s">
        <v>19</v>
      </c>
      <c r="AG309" s="4" t="s">
        <v>19</v>
      </c>
      <c r="AH309" s="17">
        <v>20094.56235</v>
      </c>
    </row>
    <row r="310" spans="2:34" ht="15">
      <c r="B310" s="1" t="s">
        <v>0</v>
      </c>
      <c r="C310" s="2">
        <v>43634</v>
      </c>
      <c r="D310" s="1" t="s">
        <v>1</v>
      </c>
      <c r="E310" s="1" t="s">
        <v>102</v>
      </c>
      <c r="F310" s="1" t="s">
        <v>3</v>
      </c>
      <c r="G310" s="1" t="s">
        <v>4</v>
      </c>
      <c r="H310" s="1" t="s">
        <v>632</v>
      </c>
      <c r="I310" s="2">
        <v>43633</v>
      </c>
      <c r="J310" s="3">
        <v>0.6261574074074074</v>
      </c>
      <c r="K310" s="2">
        <v>43635</v>
      </c>
      <c r="L310" s="1" t="s">
        <v>6</v>
      </c>
      <c r="M310" s="1"/>
      <c r="N310" s="1" t="s">
        <v>316</v>
      </c>
      <c r="O310" s="1" t="s">
        <v>317</v>
      </c>
      <c r="P310" s="1" t="s">
        <v>318</v>
      </c>
      <c r="Q310" s="1" t="s">
        <v>4</v>
      </c>
      <c r="R310" s="1" t="s">
        <v>4</v>
      </c>
      <c r="S310" s="1" t="s">
        <v>10</v>
      </c>
      <c r="T310" s="1"/>
      <c r="U310" s="1"/>
      <c r="V310" s="1"/>
      <c r="W310" s="1" t="s">
        <v>27</v>
      </c>
      <c r="X310" s="16">
        <v>22085</v>
      </c>
      <c r="Y310" s="16">
        <v>22085</v>
      </c>
      <c r="Z310" s="1" t="s">
        <v>1884</v>
      </c>
      <c r="AA310" s="1" t="s">
        <v>1910</v>
      </c>
      <c r="AB310" s="1" t="s">
        <v>1911</v>
      </c>
      <c r="AC310" s="1" t="s">
        <v>1912</v>
      </c>
      <c r="AD310" s="1" t="s">
        <v>17</v>
      </c>
      <c r="AE310" s="1" t="s">
        <v>1913</v>
      </c>
      <c r="AF310" s="1" t="s">
        <v>19</v>
      </c>
      <c r="AG310" s="1" t="s">
        <v>19</v>
      </c>
      <c r="AH310" s="16">
        <v>34695.1152</v>
      </c>
    </row>
    <row r="311" spans="2:34" ht="15">
      <c r="B311" s="4" t="s">
        <v>153</v>
      </c>
      <c r="C311" s="5">
        <v>43634</v>
      </c>
      <c r="D311" s="4" t="s">
        <v>154</v>
      </c>
      <c r="E311" s="4" t="s">
        <v>1914</v>
      </c>
      <c r="F311" s="4" t="s">
        <v>3</v>
      </c>
      <c r="G311" s="4" t="s">
        <v>4</v>
      </c>
      <c r="H311" s="4" t="s">
        <v>183</v>
      </c>
      <c r="I311" s="5">
        <v>43633</v>
      </c>
      <c r="J311" s="6">
        <v>0.5846875</v>
      </c>
      <c r="K311" s="5">
        <v>43635</v>
      </c>
      <c r="L311" s="4" t="s">
        <v>6</v>
      </c>
      <c r="M311" s="4"/>
      <c r="N311" s="4" t="s">
        <v>1557</v>
      </c>
      <c r="O311" s="4" t="s">
        <v>1574</v>
      </c>
      <c r="P311" s="4" t="s">
        <v>1559</v>
      </c>
      <c r="Q311" s="4" t="s">
        <v>4</v>
      </c>
      <c r="R311" s="4" t="s">
        <v>4</v>
      </c>
      <c r="S311" s="4" t="s">
        <v>10</v>
      </c>
      <c r="T311" s="4"/>
      <c r="U311" s="4"/>
      <c r="V311" s="4"/>
      <c r="W311" s="4" t="s">
        <v>27</v>
      </c>
      <c r="X311" s="17">
        <v>5000</v>
      </c>
      <c r="Y311" s="17">
        <v>5000</v>
      </c>
      <c r="Z311" s="4" t="s">
        <v>1594</v>
      </c>
      <c r="AA311" s="4" t="s">
        <v>1915</v>
      </c>
      <c r="AB311" s="4" t="s">
        <v>1916</v>
      </c>
      <c r="AC311" s="4" t="s">
        <v>1917</v>
      </c>
      <c r="AD311" s="4" t="s">
        <v>17</v>
      </c>
      <c r="AE311" s="4" t="s">
        <v>17</v>
      </c>
      <c r="AF311" s="4" t="s">
        <v>19</v>
      </c>
      <c r="AG311" s="4" t="s">
        <v>19</v>
      </c>
      <c r="AH311" s="17">
        <v>7339.65</v>
      </c>
    </row>
    <row r="312" spans="2:34" ht="15">
      <c r="B312" s="1" t="s">
        <v>153</v>
      </c>
      <c r="C312" s="2">
        <v>43634</v>
      </c>
      <c r="D312" s="1" t="s">
        <v>154</v>
      </c>
      <c r="E312" s="1" t="s">
        <v>1918</v>
      </c>
      <c r="F312" s="1" t="s">
        <v>3</v>
      </c>
      <c r="G312" s="1" t="s">
        <v>4</v>
      </c>
      <c r="H312" s="1" t="s">
        <v>632</v>
      </c>
      <c r="I312" s="2">
        <v>43633</v>
      </c>
      <c r="J312" s="3">
        <v>0.6261574074074074</v>
      </c>
      <c r="K312" s="2">
        <v>43635</v>
      </c>
      <c r="L312" s="1" t="s">
        <v>6</v>
      </c>
      <c r="M312" s="1"/>
      <c r="N312" s="1" t="s">
        <v>316</v>
      </c>
      <c r="O312" s="1" t="s">
        <v>317</v>
      </c>
      <c r="P312" s="1" t="s">
        <v>318</v>
      </c>
      <c r="Q312" s="1" t="s">
        <v>4</v>
      </c>
      <c r="R312" s="1" t="s">
        <v>4</v>
      </c>
      <c r="S312" s="1" t="s">
        <v>10</v>
      </c>
      <c r="T312" s="1"/>
      <c r="U312" s="1"/>
      <c r="V312" s="1"/>
      <c r="W312" s="1" t="s">
        <v>27</v>
      </c>
      <c r="X312" s="16">
        <v>12915</v>
      </c>
      <c r="Y312" s="16">
        <v>12915</v>
      </c>
      <c r="Z312" s="1" t="s">
        <v>1884</v>
      </c>
      <c r="AA312" s="1" t="s">
        <v>1919</v>
      </c>
      <c r="AB312" s="1" t="s">
        <v>1920</v>
      </c>
      <c r="AC312" s="1" t="s">
        <v>1921</v>
      </c>
      <c r="AD312" s="1" t="s">
        <v>17</v>
      </c>
      <c r="AE312" s="1" t="s">
        <v>1922</v>
      </c>
      <c r="AF312" s="1" t="s">
        <v>19</v>
      </c>
      <c r="AG312" s="1" t="s">
        <v>19</v>
      </c>
      <c r="AH312" s="16">
        <v>20289.6348</v>
      </c>
    </row>
    <row r="313" spans="2:34" ht="15">
      <c r="B313" s="4" t="s">
        <v>153</v>
      </c>
      <c r="C313" s="5">
        <v>43634</v>
      </c>
      <c r="D313" s="4" t="s">
        <v>154</v>
      </c>
      <c r="E313" s="4" t="s">
        <v>1923</v>
      </c>
      <c r="F313" s="4" t="s">
        <v>3</v>
      </c>
      <c r="G313" s="4" t="s">
        <v>4</v>
      </c>
      <c r="H313" s="4" t="s">
        <v>119</v>
      </c>
      <c r="I313" s="5">
        <v>43634</v>
      </c>
      <c r="J313" s="6">
        <v>0.3895601851851852</v>
      </c>
      <c r="K313" s="5">
        <v>43636</v>
      </c>
      <c r="L313" s="4" t="s">
        <v>6</v>
      </c>
      <c r="M313" s="4"/>
      <c r="N313" s="4" t="s">
        <v>136</v>
      </c>
      <c r="O313" s="4" t="s">
        <v>137</v>
      </c>
      <c r="P313" s="4" t="s">
        <v>138</v>
      </c>
      <c r="Q313" s="4" t="s">
        <v>4</v>
      </c>
      <c r="R313" s="4" t="s">
        <v>4</v>
      </c>
      <c r="S313" s="4" t="s">
        <v>10</v>
      </c>
      <c r="T313" s="4"/>
      <c r="U313" s="4"/>
      <c r="V313" s="4"/>
      <c r="W313" s="4" t="s">
        <v>27</v>
      </c>
      <c r="X313" s="17">
        <v>11200</v>
      </c>
      <c r="Y313" s="17">
        <v>11200</v>
      </c>
      <c r="Z313" s="4" t="s">
        <v>1924</v>
      </c>
      <c r="AA313" s="4" t="s">
        <v>1925</v>
      </c>
      <c r="AB313" s="4" t="s">
        <v>1926</v>
      </c>
      <c r="AC313" s="4" t="s">
        <v>1927</v>
      </c>
      <c r="AD313" s="4" t="s">
        <v>17</v>
      </c>
      <c r="AE313" s="4" t="s">
        <v>17</v>
      </c>
      <c r="AF313" s="4" t="s">
        <v>19</v>
      </c>
      <c r="AG313" s="4" t="s">
        <v>19</v>
      </c>
      <c r="AH313" s="17">
        <v>37209.9728</v>
      </c>
    </row>
    <row r="314" spans="2:34" ht="15">
      <c r="B314" s="1" t="s">
        <v>153</v>
      </c>
      <c r="C314" s="2">
        <v>43634</v>
      </c>
      <c r="D314" s="1" t="s">
        <v>154</v>
      </c>
      <c r="E314" s="1" t="s">
        <v>1928</v>
      </c>
      <c r="F314" s="1" t="s">
        <v>3</v>
      </c>
      <c r="G314" s="1" t="s">
        <v>4</v>
      </c>
      <c r="H314" s="1" t="s">
        <v>786</v>
      </c>
      <c r="I314" s="2">
        <v>43634</v>
      </c>
      <c r="J314" s="3">
        <v>0.4041666666666667</v>
      </c>
      <c r="K314" s="2">
        <v>43636</v>
      </c>
      <c r="L314" s="1" t="s">
        <v>6</v>
      </c>
      <c r="M314" s="1"/>
      <c r="N314" s="1" t="s">
        <v>382</v>
      </c>
      <c r="O314" s="1" t="s">
        <v>383</v>
      </c>
      <c r="P314" s="1" t="s">
        <v>1387</v>
      </c>
      <c r="Q314" s="1" t="s">
        <v>4</v>
      </c>
      <c r="R314" s="1" t="s">
        <v>4</v>
      </c>
      <c r="S314" s="1" t="s">
        <v>10</v>
      </c>
      <c r="T314" s="1"/>
      <c r="U314" s="1"/>
      <c r="V314" s="1"/>
      <c r="W314" s="1" t="s">
        <v>27</v>
      </c>
      <c r="X314" s="16">
        <v>9220</v>
      </c>
      <c r="Y314" s="16">
        <v>9220</v>
      </c>
      <c r="Z314" s="1" t="s">
        <v>1930</v>
      </c>
      <c r="AA314" s="1" t="s">
        <v>1931</v>
      </c>
      <c r="AB314" s="1" t="s">
        <v>1932</v>
      </c>
      <c r="AC314" s="1" t="s">
        <v>1933</v>
      </c>
      <c r="AD314" s="1" t="s">
        <v>17</v>
      </c>
      <c r="AE314" s="1" t="s">
        <v>1934</v>
      </c>
      <c r="AF314" s="1" t="s">
        <v>19</v>
      </c>
      <c r="AG314" s="1" t="s">
        <v>19</v>
      </c>
      <c r="AH314" s="16">
        <v>106774.27</v>
      </c>
    </row>
    <row r="315" spans="2:34" ht="15">
      <c r="B315" s="4" t="s">
        <v>0</v>
      </c>
      <c r="C315" s="5">
        <v>43635</v>
      </c>
      <c r="D315" s="4" t="s">
        <v>1</v>
      </c>
      <c r="E315" s="4" t="s">
        <v>537</v>
      </c>
      <c r="F315" s="4" t="s">
        <v>3</v>
      </c>
      <c r="G315" s="4" t="s">
        <v>4</v>
      </c>
      <c r="H315" s="4" t="s">
        <v>632</v>
      </c>
      <c r="I315" s="5">
        <v>43634</v>
      </c>
      <c r="J315" s="6">
        <v>0.5199074074074074</v>
      </c>
      <c r="K315" s="5">
        <v>43636</v>
      </c>
      <c r="L315" s="4" t="s">
        <v>6</v>
      </c>
      <c r="M315" s="4"/>
      <c r="N315" s="4" t="s">
        <v>316</v>
      </c>
      <c r="O315" s="4" t="s">
        <v>317</v>
      </c>
      <c r="P315" s="4" t="s">
        <v>318</v>
      </c>
      <c r="Q315" s="4" t="s">
        <v>4</v>
      </c>
      <c r="R315" s="4" t="s">
        <v>4</v>
      </c>
      <c r="S315" s="4" t="s">
        <v>10</v>
      </c>
      <c r="T315" s="4"/>
      <c r="U315" s="4"/>
      <c r="V315" s="4"/>
      <c r="W315" s="4" t="s">
        <v>27</v>
      </c>
      <c r="X315" s="17">
        <v>26055</v>
      </c>
      <c r="Y315" s="17">
        <v>26055</v>
      </c>
      <c r="Z315" s="4" t="s">
        <v>1936</v>
      </c>
      <c r="AA315" s="4" t="s">
        <v>1937</v>
      </c>
      <c r="AB315" s="4" t="s">
        <v>1938</v>
      </c>
      <c r="AC315" s="4" t="s">
        <v>1939</v>
      </c>
      <c r="AD315" s="4" t="s">
        <v>17</v>
      </c>
      <c r="AE315" s="4" t="s">
        <v>1940</v>
      </c>
      <c r="AF315" s="4" t="s">
        <v>19</v>
      </c>
      <c r="AG315" s="4" t="s">
        <v>19</v>
      </c>
      <c r="AH315" s="17">
        <v>41325.28825</v>
      </c>
    </row>
    <row r="316" spans="2:34" ht="15">
      <c r="B316" s="4" t="s">
        <v>153</v>
      </c>
      <c r="C316" s="5">
        <v>43635</v>
      </c>
      <c r="D316" s="4" t="s">
        <v>154</v>
      </c>
      <c r="E316" s="4" t="s">
        <v>1941</v>
      </c>
      <c r="F316" s="4" t="s">
        <v>3</v>
      </c>
      <c r="G316" s="4" t="s">
        <v>4</v>
      </c>
      <c r="H316" s="4" t="s">
        <v>786</v>
      </c>
      <c r="I316" s="5">
        <v>43634</v>
      </c>
      <c r="J316" s="6">
        <v>0.4041666666666667</v>
      </c>
      <c r="K316" s="5">
        <v>43636</v>
      </c>
      <c r="L316" s="4" t="s">
        <v>6</v>
      </c>
      <c r="M316" s="4"/>
      <c r="N316" s="4" t="s">
        <v>382</v>
      </c>
      <c r="O316" s="4" t="s">
        <v>383</v>
      </c>
      <c r="P316" s="4" t="s">
        <v>1387</v>
      </c>
      <c r="Q316" s="4" t="s">
        <v>4</v>
      </c>
      <c r="R316" s="4" t="s">
        <v>4</v>
      </c>
      <c r="S316" s="4" t="s">
        <v>10</v>
      </c>
      <c r="T316" s="4"/>
      <c r="U316" s="4"/>
      <c r="V316" s="4"/>
      <c r="W316" s="4" t="s">
        <v>27</v>
      </c>
      <c r="X316" s="17">
        <v>1520</v>
      </c>
      <c r="Y316" s="17">
        <v>1520</v>
      </c>
      <c r="Z316" s="4" t="s">
        <v>1930</v>
      </c>
      <c r="AA316" s="4" t="s">
        <v>1943</v>
      </c>
      <c r="AB316" s="4" t="s">
        <v>1944</v>
      </c>
      <c r="AC316" s="4" t="s">
        <v>1945</v>
      </c>
      <c r="AD316" s="4" t="s">
        <v>17</v>
      </c>
      <c r="AE316" s="4" t="s">
        <v>1946</v>
      </c>
      <c r="AF316" s="4" t="s">
        <v>19</v>
      </c>
      <c r="AG316" s="4" t="s">
        <v>19</v>
      </c>
      <c r="AH316" s="17">
        <v>17603.53</v>
      </c>
    </row>
    <row r="317" spans="2:34" ht="15">
      <c r="B317" s="1" t="s">
        <v>153</v>
      </c>
      <c r="C317" s="2">
        <v>43635</v>
      </c>
      <c r="D317" s="1" t="s">
        <v>154</v>
      </c>
      <c r="E317" s="1" t="s">
        <v>1947</v>
      </c>
      <c r="F317" s="1" t="s">
        <v>3</v>
      </c>
      <c r="G317" s="1" t="s">
        <v>4</v>
      </c>
      <c r="H317" s="1" t="s">
        <v>632</v>
      </c>
      <c r="I317" s="2">
        <v>43634</v>
      </c>
      <c r="J317" s="3">
        <v>0.5199074074074074</v>
      </c>
      <c r="K317" s="2">
        <v>43636</v>
      </c>
      <c r="L317" s="1" t="s">
        <v>6</v>
      </c>
      <c r="M317" s="1"/>
      <c r="N317" s="1" t="s">
        <v>316</v>
      </c>
      <c r="O317" s="1" t="s">
        <v>317</v>
      </c>
      <c r="P317" s="1" t="s">
        <v>318</v>
      </c>
      <c r="Q317" s="1" t="s">
        <v>4</v>
      </c>
      <c r="R317" s="1" t="s">
        <v>4</v>
      </c>
      <c r="S317" s="1" t="s">
        <v>10</v>
      </c>
      <c r="T317" s="1"/>
      <c r="U317" s="1"/>
      <c r="V317" s="1"/>
      <c r="W317" s="1" t="s">
        <v>27</v>
      </c>
      <c r="X317" s="16">
        <v>15237</v>
      </c>
      <c r="Y317" s="16">
        <v>15237</v>
      </c>
      <c r="Z317" s="1" t="s">
        <v>1936</v>
      </c>
      <c r="AA317" s="1" t="s">
        <v>1949</v>
      </c>
      <c r="AB317" s="1" t="s">
        <v>1950</v>
      </c>
      <c r="AC317" s="1" t="s">
        <v>1951</v>
      </c>
      <c r="AD317" s="1" t="s">
        <v>17</v>
      </c>
      <c r="AE317" s="1" t="s">
        <v>1952</v>
      </c>
      <c r="AF317" s="1" t="s">
        <v>19</v>
      </c>
      <c r="AG317" s="1" t="s">
        <v>19</v>
      </c>
      <c r="AH317" s="16">
        <v>24167.51155</v>
      </c>
    </row>
    <row r="318" spans="2:34" ht="15">
      <c r="B318" s="1" t="s">
        <v>0</v>
      </c>
      <c r="C318" s="2">
        <v>43637</v>
      </c>
      <c r="D318" s="1" t="s">
        <v>1</v>
      </c>
      <c r="E318" s="1" t="s">
        <v>569</v>
      </c>
      <c r="F318" s="1" t="s">
        <v>3</v>
      </c>
      <c r="G318" s="1" t="s">
        <v>4</v>
      </c>
      <c r="H318" s="1" t="s">
        <v>109</v>
      </c>
      <c r="I318" s="2">
        <v>43636</v>
      </c>
      <c r="J318" s="3">
        <v>0.6180555555555556</v>
      </c>
      <c r="K318" s="2">
        <v>43636</v>
      </c>
      <c r="L318" s="1" t="s">
        <v>1963</v>
      </c>
      <c r="M318" s="1"/>
      <c r="N318" s="1"/>
      <c r="O318" s="1" t="s">
        <v>1964</v>
      </c>
      <c r="P318" s="1" t="s">
        <v>1965</v>
      </c>
      <c r="Q318" s="1" t="s">
        <v>4</v>
      </c>
      <c r="R318" s="1" t="s">
        <v>4</v>
      </c>
      <c r="S318" s="1" t="s">
        <v>10</v>
      </c>
      <c r="T318" s="1"/>
      <c r="U318" s="1"/>
      <c r="V318" s="1"/>
      <c r="W318" s="1" t="s">
        <v>27</v>
      </c>
      <c r="X318" s="16">
        <v>1000000</v>
      </c>
      <c r="Y318" s="16">
        <v>1000000</v>
      </c>
      <c r="Z318" s="1" t="s">
        <v>18</v>
      </c>
      <c r="AA318" s="1" t="s">
        <v>1031</v>
      </c>
      <c r="AB318" s="1" t="s">
        <v>1031</v>
      </c>
      <c r="AC318" s="1" t="s">
        <v>17</v>
      </c>
      <c r="AD318" s="1" t="s">
        <v>17</v>
      </c>
      <c r="AE318" s="1" t="s">
        <v>17</v>
      </c>
      <c r="AF318" s="1" t="s">
        <v>19</v>
      </c>
      <c r="AG318" s="1" t="s">
        <v>19</v>
      </c>
      <c r="AH318" s="16">
        <v>1000000</v>
      </c>
    </row>
    <row r="319" spans="2:34" ht="15">
      <c r="B319" s="1" t="s">
        <v>20</v>
      </c>
      <c r="C319" s="2">
        <v>43641</v>
      </c>
      <c r="D319" s="1" t="s">
        <v>21</v>
      </c>
      <c r="E319" s="1" t="s">
        <v>1966</v>
      </c>
      <c r="F319" s="1" t="s">
        <v>3</v>
      </c>
      <c r="G319" s="1" t="s">
        <v>4</v>
      </c>
      <c r="H319" s="1" t="s">
        <v>119</v>
      </c>
      <c r="I319" s="2">
        <v>43636</v>
      </c>
      <c r="J319" s="3">
        <v>0.40697916666666667</v>
      </c>
      <c r="K319" s="2">
        <v>43641</v>
      </c>
      <c r="L319" s="1" t="s">
        <v>6</v>
      </c>
      <c r="M319" s="1"/>
      <c r="N319" s="1" t="s">
        <v>1967</v>
      </c>
      <c r="O319" s="1" t="s">
        <v>1954</v>
      </c>
      <c r="P319" s="1" t="s">
        <v>1955</v>
      </c>
      <c r="Q319" s="1" t="s">
        <v>4</v>
      </c>
      <c r="R319" s="1" t="s">
        <v>85</v>
      </c>
      <c r="S319" s="1" t="s">
        <v>4</v>
      </c>
      <c r="T319" s="1"/>
      <c r="U319" s="1"/>
      <c r="V319" s="1"/>
      <c r="W319" s="1" t="s">
        <v>27</v>
      </c>
      <c r="X319" s="16">
        <v>4320949</v>
      </c>
      <c r="Y319" s="16">
        <v>4320949</v>
      </c>
      <c r="Z319" s="1" t="s">
        <v>1957</v>
      </c>
      <c r="AA319" s="1" t="s">
        <v>1958</v>
      </c>
      <c r="AB319" s="1" t="s">
        <v>1958</v>
      </c>
      <c r="AC319" s="1" t="s">
        <v>17</v>
      </c>
      <c r="AD319" s="1" t="s">
        <v>17</v>
      </c>
      <c r="AE319" s="1" t="s">
        <v>17</v>
      </c>
      <c r="AF319" s="1" t="s">
        <v>19</v>
      </c>
      <c r="AG319" s="1" t="s">
        <v>19</v>
      </c>
      <c r="AH319" s="16">
        <v>4580205.94</v>
      </c>
    </row>
    <row r="320" spans="2:34" ht="15">
      <c r="B320" s="1" t="s">
        <v>0</v>
      </c>
      <c r="C320" s="2">
        <v>43641</v>
      </c>
      <c r="D320" s="1" t="s">
        <v>1</v>
      </c>
      <c r="E320" s="1" t="s">
        <v>586</v>
      </c>
      <c r="F320" s="1" t="s">
        <v>3</v>
      </c>
      <c r="G320" s="1" t="s">
        <v>4</v>
      </c>
      <c r="H320" s="1" t="s">
        <v>119</v>
      </c>
      <c r="I320" s="2">
        <v>43636</v>
      </c>
      <c r="J320" s="3">
        <v>0.40697916666666667</v>
      </c>
      <c r="K320" s="2">
        <v>43641</v>
      </c>
      <c r="L320" s="1" t="s">
        <v>6</v>
      </c>
      <c r="M320" s="1"/>
      <c r="N320" s="1" t="s">
        <v>1967</v>
      </c>
      <c r="O320" s="1" t="s">
        <v>1954</v>
      </c>
      <c r="P320" s="1" t="s">
        <v>1955</v>
      </c>
      <c r="Q320" s="1" t="s">
        <v>4</v>
      </c>
      <c r="R320" s="1" t="s">
        <v>85</v>
      </c>
      <c r="S320" s="1" t="s">
        <v>4</v>
      </c>
      <c r="T320" s="1"/>
      <c r="U320" s="1"/>
      <c r="V320" s="1"/>
      <c r="W320" s="1" t="s">
        <v>27</v>
      </c>
      <c r="X320" s="16">
        <v>624415</v>
      </c>
      <c r="Y320" s="16">
        <v>624415</v>
      </c>
      <c r="Z320" s="1" t="s">
        <v>1957</v>
      </c>
      <c r="AA320" s="1" t="s">
        <v>1960</v>
      </c>
      <c r="AB320" s="1" t="s">
        <v>1960</v>
      </c>
      <c r="AC320" s="1" t="s">
        <v>17</v>
      </c>
      <c r="AD320" s="1" t="s">
        <v>17</v>
      </c>
      <c r="AE320" s="1" t="s">
        <v>17</v>
      </c>
      <c r="AF320" s="1" t="s">
        <v>19</v>
      </c>
      <c r="AG320" s="1" t="s">
        <v>19</v>
      </c>
      <c r="AH320" s="16">
        <v>661879.9</v>
      </c>
    </row>
    <row r="321" spans="2:34" ht="15">
      <c r="B321" s="1" t="s">
        <v>153</v>
      </c>
      <c r="C321" s="2">
        <v>43641</v>
      </c>
      <c r="D321" s="1" t="s">
        <v>154</v>
      </c>
      <c r="E321" s="1" t="s">
        <v>1968</v>
      </c>
      <c r="F321" s="1" t="s">
        <v>3</v>
      </c>
      <c r="G321" s="1" t="s">
        <v>4</v>
      </c>
      <c r="H321" s="1" t="s">
        <v>119</v>
      </c>
      <c r="I321" s="2">
        <v>43636</v>
      </c>
      <c r="J321" s="3">
        <v>0.40697916666666667</v>
      </c>
      <c r="K321" s="2">
        <v>43641</v>
      </c>
      <c r="L321" s="1" t="s">
        <v>6</v>
      </c>
      <c r="M321" s="1"/>
      <c r="N321" s="1" t="s">
        <v>1967</v>
      </c>
      <c r="O321" s="1" t="s">
        <v>1954</v>
      </c>
      <c r="P321" s="1" t="s">
        <v>1955</v>
      </c>
      <c r="Q321" s="1" t="s">
        <v>4</v>
      </c>
      <c r="R321" s="1" t="s">
        <v>85</v>
      </c>
      <c r="S321" s="1" t="s">
        <v>4</v>
      </c>
      <c r="T321" s="1"/>
      <c r="U321" s="1"/>
      <c r="V321" s="1"/>
      <c r="W321" s="1" t="s">
        <v>27</v>
      </c>
      <c r="X321" s="16">
        <v>54636</v>
      </c>
      <c r="Y321" s="16">
        <v>54636</v>
      </c>
      <c r="Z321" s="1" t="s">
        <v>1957</v>
      </c>
      <c r="AA321" s="1" t="s">
        <v>1962</v>
      </c>
      <c r="AB321" s="1" t="s">
        <v>1962</v>
      </c>
      <c r="AC321" s="1" t="s">
        <v>17</v>
      </c>
      <c r="AD321" s="1" t="s">
        <v>17</v>
      </c>
      <c r="AE321" s="1" t="s">
        <v>17</v>
      </c>
      <c r="AF321" s="1" t="s">
        <v>19</v>
      </c>
      <c r="AG321" s="1" t="s">
        <v>19</v>
      </c>
      <c r="AH321" s="16">
        <v>57914.16</v>
      </c>
    </row>
    <row r="322" spans="2:34" ht="15">
      <c r="B322" s="4" t="s">
        <v>20</v>
      </c>
      <c r="C322" s="5">
        <v>43643</v>
      </c>
      <c r="D322" s="4" t="s">
        <v>21</v>
      </c>
      <c r="E322" s="4" t="s">
        <v>1969</v>
      </c>
      <c r="F322" s="4" t="s">
        <v>3</v>
      </c>
      <c r="G322" s="4" t="s">
        <v>4</v>
      </c>
      <c r="H322" s="4" t="s">
        <v>119</v>
      </c>
      <c r="I322" s="5">
        <v>43643</v>
      </c>
      <c r="J322" s="6">
        <v>0.418275462962963</v>
      </c>
      <c r="K322" s="5">
        <v>43647</v>
      </c>
      <c r="L322" s="4" t="s">
        <v>6</v>
      </c>
      <c r="M322" s="4"/>
      <c r="N322" s="4" t="s">
        <v>316</v>
      </c>
      <c r="O322" s="4" t="s">
        <v>317</v>
      </c>
      <c r="P322" s="4" t="s">
        <v>318</v>
      </c>
      <c r="Q322" s="4" t="s">
        <v>4</v>
      </c>
      <c r="R322" s="4" t="s">
        <v>4</v>
      </c>
      <c r="S322" s="4" t="s">
        <v>10</v>
      </c>
      <c r="T322" s="4"/>
      <c r="U322" s="4"/>
      <c r="V322" s="4"/>
      <c r="W322" s="4" t="s">
        <v>27</v>
      </c>
      <c r="X322" s="17">
        <v>1000000</v>
      </c>
      <c r="Y322" s="17">
        <v>1000000</v>
      </c>
      <c r="Z322" s="4" t="s">
        <v>18</v>
      </c>
      <c r="AA322" s="4" t="s">
        <v>1031</v>
      </c>
      <c r="AB322" s="4" t="s">
        <v>1970</v>
      </c>
      <c r="AC322" s="4" t="s">
        <v>714</v>
      </c>
      <c r="AD322" s="4" t="s">
        <v>17</v>
      </c>
      <c r="AE322" s="4" t="s">
        <v>1971</v>
      </c>
      <c r="AF322" s="4" t="s">
        <v>19</v>
      </c>
      <c r="AG322" s="4" t="s">
        <v>19</v>
      </c>
      <c r="AH322" s="17">
        <v>1007011</v>
      </c>
    </row>
    <row r="323" spans="2:34" ht="15">
      <c r="B323" s="1" t="s">
        <v>20</v>
      </c>
      <c r="C323" s="2">
        <v>43643</v>
      </c>
      <c r="D323" s="1" t="s">
        <v>21</v>
      </c>
      <c r="E323" s="1" t="s">
        <v>1972</v>
      </c>
      <c r="F323" s="1" t="s">
        <v>3</v>
      </c>
      <c r="G323" s="1" t="s">
        <v>4</v>
      </c>
      <c r="H323" s="1" t="s">
        <v>632</v>
      </c>
      <c r="I323" s="2">
        <v>43643</v>
      </c>
      <c r="J323" s="3">
        <v>0.42324074074074075</v>
      </c>
      <c r="K323" s="2">
        <v>43647</v>
      </c>
      <c r="L323" s="1" t="s">
        <v>6</v>
      </c>
      <c r="M323" s="1"/>
      <c r="N323" s="1" t="s">
        <v>316</v>
      </c>
      <c r="O323" s="1" t="s">
        <v>317</v>
      </c>
      <c r="P323" s="1" t="s">
        <v>318</v>
      </c>
      <c r="Q323" s="1" t="s">
        <v>4</v>
      </c>
      <c r="R323" s="1" t="s">
        <v>4</v>
      </c>
      <c r="S323" s="1" t="s">
        <v>10</v>
      </c>
      <c r="T323" s="1"/>
      <c r="U323" s="1"/>
      <c r="V323" s="1"/>
      <c r="W323" s="1" t="s">
        <v>27</v>
      </c>
      <c r="X323" s="16">
        <v>608319</v>
      </c>
      <c r="Y323" s="16">
        <v>608319</v>
      </c>
      <c r="Z323" s="1" t="s">
        <v>18</v>
      </c>
      <c r="AA323" s="1" t="s">
        <v>1973</v>
      </c>
      <c r="AB323" s="1" t="s">
        <v>1974</v>
      </c>
      <c r="AC323" s="1" t="s">
        <v>1975</v>
      </c>
      <c r="AD323" s="1" t="s">
        <v>17</v>
      </c>
      <c r="AE323" s="1" t="s">
        <v>1976</v>
      </c>
      <c r="AF323" s="1" t="s">
        <v>19</v>
      </c>
      <c r="AG323" s="1" t="s">
        <v>19</v>
      </c>
      <c r="AH323" s="16">
        <v>612584.318</v>
      </c>
    </row>
    <row r="324" spans="2:34" ht="15">
      <c r="B324" s="4" t="s">
        <v>0</v>
      </c>
      <c r="C324" s="5">
        <v>43643</v>
      </c>
      <c r="D324" s="4" t="s">
        <v>1</v>
      </c>
      <c r="E324" s="4" t="s">
        <v>642</v>
      </c>
      <c r="F324" s="4" t="s">
        <v>3</v>
      </c>
      <c r="G324" s="4" t="s">
        <v>4</v>
      </c>
      <c r="H324" s="4" t="s">
        <v>632</v>
      </c>
      <c r="I324" s="5">
        <v>43643</v>
      </c>
      <c r="J324" s="6">
        <v>0.42324074074074075</v>
      </c>
      <c r="K324" s="5">
        <v>43647</v>
      </c>
      <c r="L324" s="4" t="s">
        <v>6</v>
      </c>
      <c r="M324" s="4"/>
      <c r="N324" s="4" t="s">
        <v>316</v>
      </c>
      <c r="O324" s="4" t="s">
        <v>317</v>
      </c>
      <c r="P324" s="4" t="s">
        <v>318</v>
      </c>
      <c r="Q324" s="4" t="s">
        <v>4</v>
      </c>
      <c r="R324" s="4" t="s">
        <v>4</v>
      </c>
      <c r="S324" s="4" t="s">
        <v>10</v>
      </c>
      <c r="T324" s="4"/>
      <c r="U324" s="4"/>
      <c r="V324" s="4"/>
      <c r="W324" s="4" t="s">
        <v>27</v>
      </c>
      <c r="X324" s="17">
        <v>312546</v>
      </c>
      <c r="Y324" s="17">
        <v>312546</v>
      </c>
      <c r="Z324" s="4" t="s">
        <v>18</v>
      </c>
      <c r="AA324" s="4" t="s">
        <v>1977</v>
      </c>
      <c r="AB324" s="4" t="s">
        <v>1978</v>
      </c>
      <c r="AC324" s="4" t="s">
        <v>1979</v>
      </c>
      <c r="AD324" s="4" t="s">
        <v>17</v>
      </c>
      <c r="AE324" s="4" t="s">
        <v>1980</v>
      </c>
      <c r="AF324" s="4" t="s">
        <v>19</v>
      </c>
      <c r="AG324" s="4" t="s">
        <v>19</v>
      </c>
      <c r="AH324" s="17">
        <v>314737.952</v>
      </c>
    </row>
    <row r="325" spans="2:34" ht="15">
      <c r="B325" s="1" t="s">
        <v>153</v>
      </c>
      <c r="C325" s="2">
        <v>43643</v>
      </c>
      <c r="D325" s="1" t="s">
        <v>154</v>
      </c>
      <c r="E325" s="1" t="s">
        <v>1981</v>
      </c>
      <c r="F325" s="1" t="s">
        <v>3</v>
      </c>
      <c r="G325" s="1" t="s">
        <v>4</v>
      </c>
      <c r="H325" s="1" t="s">
        <v>632</v>
      </c>
      <c r="I325" s="2">
        <v>43643</v>
      </c>
      <c r="J325" s="3">
        <v>0.42324074074074075</v>
      </c>
      <c r="K325" s="2">
        <v>43647</v>
      </c>
      <c r="L325" s="1" t="s">
        <v>6</v>
      </c>
      <c r="M325" s="1"/>
      <c r="N325" s="1" t="s">
        <v>316</v>
      </c>
      <c r="O325" s="1" t="s">
        <v>317</v>
      </c>
      <c r="P325" s="1" t="s">
        <v>318</v>
      </c>
      <c r="Q325" s="1" t="s">
        <v>4</v>
      </c>
      <c r="R325" s="1" t="s">
        <v>4</v>
      </c>
      <c r="S325" s="1" t="s">
        <v>10</v>
      </c>
      <c r="T325" s="1"/>
      <c r="U325" s="1"/>
      <c r="V325" s="1"/>
      <c r="W325" s="1" t="s">
        <v>27</v>
      </c>
      <c r="X325" s="16">
        <v>26000</v>
      </c>
      <c r="Y325" s="16">
        <v>26000</v>
      </c>
      <c r="Z325" s="1" t="s">
        <v>18</v>
      </c>
      <c r="AA325" s="1" t="s">
        <v>1982</v>
      </c>
      <c r="AB325" s="1" t="s">
        <v>1983</v>
      </c>
      <c r="AC325" s="1" t="s">
        <v>1984</v>
      </c>
      <c r="AD325" s="1" t="s">
        <v>17</v>
      </c>
      <c r="AE325" s="1" t="s">
        <v>1985</v>
      </c>
      <c r="AF325" s="1" t="s">
        <v>19</v>
      </c>
      <c r="AG325" s="1" t="s">
        <v>19</v>
      </c>
      <c r="AH325" s="16">
        <v>26183.26</v>
      </c>
    </row>
    <row r="326" spans="2:34" ht="15">
      <c r="B326" s="1" t="s">
        <v>20</v>
      </c>
      <c r="C326" s="2">
        <v>43647</v>
      </c>
      <c r="D326" s="1" t="s">
        <v>21</v>
      </c>
      <c r="E326" s="1" t="s">
        <v>1990</v>
      </c>
      <c r="F326" s="1" t="s">
        <v>3</v>
      </c>
      <c r="G326" s="1" t="s">
        <v>4</v>
      </c>
      <c r="H326" s="1" t="s">
        <v>1174</v>
      </c>
      <c r="I326" s="2">
        <v>43644</v>
      </c>
      <c r="J326" s="3">
        <v>0.6301851851851852</v>
      </c>
      <c r="K326" s="2">
        <v>43648</v>
      </c>
      <c r="L326" s="1" t="s">
        <v>6</v>
      </c>
      <c r="M326" s="1"/>
      <c r="N326" s="1" t="s">
        <v>1175</v>
      </c>
      <c r="O326" s="1" t="s">
        <v>1176</v>
      </c>
      <c r="P326" s="1" t="s">
        <v>1177</v>
      </c>
      <c r="Q326" s="1" t="s">
        <v>4</v>
      </c>
      <c r="R326" s="1" t="s">
        <v>4</v>
      </c>
      <c r="S326" s="1" t="s">
        <v>10</v>
      </c>
      <c r="T326" s="1"/>
      <c r="U326" s="1"/>
      <c r="V326" s="1"/>
      <c r="W326" s="1" t="s">
        <v>11</v>
      </c>
      <c r="X326" s="16">
        <v>12500</v>
      </c>
      <c r="Y326" s="16">
        <v>12500</v>
      </c>
      <c r="Z326" s="1" t="s">
        <v>1992</v>
      </c>
      <c r="AA326" s="1" t="s">
        <v>1993</v>
      </c>
      <c r="AB326" s="1" t="s">
        <v>1994</v>
      </c>
      <c r="AC326" s="1" t="s">
        <v>1995</v>
      </c>
      <c r="AD326" s="1" t="s">
        <v>17</v>
      </c>
      <c r="AE326" s="1" t="s">
        <v>18</v>
      </c>
      <c r="AF326" s="1" t="s">
        <v>19</v>
      </c>
      <c r="AG326" s="1" t="s">
        <v>19</v>
      </c>
      <c r="AH326" s="16">
        <v>33931</v>
      </c>
    </row>
    <row r="327" spans="2:34" ht="15">
      <c r="B327" s="4" t="s">
        <v>20</v>
      </c>
      <c r="C327" s="5">
        <v>43647</v>
      </c>
      <c r="D327" s="4" t="s">
        <v>21</v>
      </c>
      <c r="E327" s="4" t="s">
        <v>1996</v>
      </c>
      <c r="F327" s="4" t="s">
        <v>3</v>
      </c>
      <c r="G327" s="4" t="s">
        <v>4</v>
      </c>
      <c r="H327" s="4" t="s">
        <v>632</v>
      </c>
      <c r="I327" s="5">
        <v>43644</v>
      </c>
      <c r="J327" s="6">
        <v>0.6899421296296296</v>
      </c>
      <c r="K327" s="5">
        <v>43648</v>
      </c>
      <c r="L327" s="4" t="s">
        <v>6</v>
      </c>
      <c r="M327" s="4"/>
      <c r="N327" s="4" t="s">
        <v>1175</v>
      </c>
      <c r="O327" s="4" t="s">
        <v>1176</v>
      </c>
      <c r="P327" s="4" t="s">
        <v>1177</v>
      </c>
      <c r="Q327" s="4" t="s">
        <v>4</v>
      </c>
      <c r="R327" s="4" t="s">
        <v>4</v>
      </c>
      <c r="S327" s="4" t="s">
        <v>10</v>
      </c>
      <c r="T327" s="4"/>
      <c r="U327" s="4"/>
      <c r="V327" s="4"/>
      <c r="W327" s="4" t="s">
        <v>11</v>
      </c>
      <c r="X327" s="17">
        <v>10000</v>
      </c>
      <c r="Y327" s="17">
        <v>10000</v>
      </c>
      <c r="Z327" s="4" t="s">
        <v>1992</v>
      </c>
      <c r="AA327" s="4" t="s">
        <v>1997</v>
      </c>
      <c r="AB327" s="4" t="s">
        <v>1998</v>
      </c>
      <c r="AC327" s="4" t="s">
        <v>1999</v>
      </c>
      <c r="AD327" s="4" t="s">
        <v>17</v>
      </c>
      <c r="AE327" s="4" t="s">
        <v>18</v>
      </c>
      <c r="AF327" s="4" t="s">
        <v>19</v>
      </c>
      <c r="AG327" s="4" t="s">
        <v>19</v>
      </c>
      <c r="AH327" s="17">
        <v>27144.6</v>
      </c>
    </row>
    <row r="328" spans="2:34" ht="15">
      <c r="B328" s="1" t="s">
        <v>20</v>
      </c>
      <c r="C328" s="2">
        <v>43647</v>
      </c>
      <c r="D328" s="1" t="s">
        <v>21</v>
      </c>
      <c r="E328" s="1" t="s">
        <v>2000</v>
      </c>
      <c r="F328" s="1" t="s">
        <v>3</v>
      </c>
      <c r="G328" s="1" t="s">
        <v>4</v>
      </c>
      <c r="H328" s="1" t="s">
        <v>632</v>
      </c>
      <c r="I328" s="2">
        <v>43644</v>
      </c>
      <c r="J328" s="3">
        <v>0.6906018518518519</v>
      </c>
      <c r="K328" s="2">
        <v>43648</v>
      </c>
      <c r="L328" s="1" t="s">
        <v>6</v>
      </c>
      <c r="M328" s="1"/>
      <c r="N328" s="1" t="s">
        <v>712</v>
      </c>
      <c r="O328" s="1" t="s">
        <v>428</v>
      </c>
      <c r="P328" s="1" t="s">
        <v>713</v>
      </c>
      <c r="Q328" s="1" t="s">
        <v>4</v>
      </c>
      <c r="R328" s="1" t="s">
        <v>4</v>
      </c>
      <c r="S328" s="1" t="s">
        <v>10</v>
      </c>
      <c r="T328" s="1"/>
      <c r="U328" s="1"/>
      <c r="V328" s="1"/>
      <c r="W328" s="1" t="s">
        <v>11</v>
      </c>
      <c r="X328" s="16">
        <v>20000</v>
      </c>
      <c r="Y328" s="16">
        <v>20000</v>
      </c>
      <c r="Z328" s="1" t="s">
        <v>2001</v>
      </c>
      <c r="AA328" s="1" t="s">
        <v>2002</v>
      </c>
      <c r="AB328" s="1" t="s">
        <v>2003</v>
      </c>
      <c r="AC328" s="1" t="s">
        <v>2004</v>
      </c>
      <c r="AD328" s="1" t="s">
        <v>17</v>
      </c>
      <c r="AE328" s="1" t="s">
        <v>18</v>
      </c>
      <c r="AF328" s="1" t="s">
        <v>19</v>
      </c>
      <c r="AG328" s="1" t="s">
        <v>19</v>
      </c>
      <c r="AH328" s="16">
        <v>55088.6</v>
      </c>
    </row>
    <row r="329" spans="2:34" ht="15">
      <c r="B329" s="4" t="s">
        <v>20</v>
      </c>
      <c r="C329" s="5">
        <v>43647</v>
      </c>
      <c r="D329" s="4" t="s">
        <v>21</v>
      </c>
      <c r="E329" s="4" t="s">
        <v>2005</v>
      </c>
      <c r="F329" s="4" t="s">
        <v>3</v>
      </c>
      <c r="G329" s="4" t="s">
        <v>4</v>
      </c>
      <c r="H329" s="4" t="s">
        <v>90</v>
      </c>
      <c r="I329" s="5">
        <v>43644</v>
      </c>
      <c r="J329" s="6">
        <v>0.6934953703703703</v>
      </c>
      <c r="K329" s="5">
        <v>43648</v>
      </c>
      <c r="L329" s="4" t="s">
        <v>6</v>
      </c>
      <c r="M329" s="4"/>
      <c r="N329" s="4" t="s">
        <v>712</v>
      </c>
      <c r="O329" s="4" t="s">
        <v>428</v>
      </c>
      <c r="P329" s="4" t="s">
        <v>713</v>
      </c>
      <c r="Q329" s="4" t="s">
        <v>4</v>
      </c>
      <c r="R329" s="4" t="s">
        <v>4</v>
      </c>
      <c r="S329" s="4" t="s">
        <v>10</v>
      </c>
      <c r="T329" s="4"/>
      <c r="U329" s="4"/>
      <c r="V329" s="4"/>
      <c r="W329" s="4" t="s">
        <v>11</v>
      </c>
      <c r="X329" s="17">
        <v>25000</v>
      </c>
      <c r="Y329" s="17">
        <v>25000</v>
      </c>
      <c r="Z329" s="4" t="s">
        <v>347</v>
      </c>
      <c r="AA329" s="4" t="s">
        <v>2006</v>
      </c>
      <c r="AB329" s="4" t="s">
        <v>2007</v>
      </c>
      <c r="AC329" s="4" t="s">
        <v>2008</v>
      </c>
      <c r="AD329" s="4" t="s">
        <v>17</v>
      </c>
      <c r="AE329" s="4" t="s">
        <v>18</v>
      </c>
      <c r="AF329" s="4" t="s">
        <v>19</v>
      </c>
      <c r="AG329" s="4" t="s">
        <v>19</v>
      </c>
      <c r="AH329" s="17">
        <v>68611.5</v>
      </c>
    </row>
    <row r="330" spans="2:34" ht="15">
      <c r="B330" s="1" t="s">
        <v>0</v>
      </c>
      <c r="C330" s="2">
        <v>43647</v>
      </c>
      <c r="D330" s="1" t="s">
        <v>1</v>
      </c>
      <c r="E330" s="1" t="s">
        <v>874</v>
      </c>
      <c r="F330" s="1" t="s">
        <v>3</v>
      </c>
      <c r="G330" s="1" t="s">
        <v>4</v>
      </c>
      <c r="H330" s="1" t="s">
        <v>632</v>
      </c>
      <c r="I330" s="2">
        <v>43644</v>
      </c>
      <c r="J330" s="3">
        <v>0.5</v>
      </c>
      <c r="K330" s="2">
        <v>43648</v>
      </c>
      <c r="L330" s="1" t="s">
        <v>6</v>
      </c>
      <c r="M330" s="1"/>
      <c r="N330" s="1" t="s">
        <v>250</v>
      </c>
      <c r="O330" s="1" t="s">
        <v>251</v>
      </c>
      <c r="P330" s="1" t="s">
        <v>252</v>
      </c>
      <c r="Q330" s="1" t="s">
        <v>4</v>
      </c>
      <c r="R330" s="1" t="s">
        <v>4</v>
      </c>
      <c r="S330" s="1" t="s">
        <v>10</v>
      </c>
      <c r="T330" s="1"/>
      <c r="U330" s="1"/>
      <c r="V330" s="1"/>
      <c r="W330" s="1" t="s">
        <v>11</v>
      </c>
      <c r="X330" s="16">
        <v>91742</v>
      </c>
      <c r="Y330" s="16">
        <v>91742</v>
      </c>
      <c r="Z330" s="1" t="s">
        <v>2010</v>
      </c>
      <c r="AA330" s="1" t="s">
        <v>2011</v>
      </c>
      <c r="AB330" s="1" t="s">
        <v>2012</v>
      </c>
      <c r="AC330" s="1" t="s">
        <v>2013</v>
      </c>
      <c r="AD330" s="1" t="s">
        <v>17</v>
      </c>
      <c r="AE330" s="1" t="s">
        <v>18</v>
      </c>
      <c r="AF330" s="1" t="s">
        <v>19</v>
      </c>
      <c r="AG330" s="1" t="s">
        <v>19</v>
      </c>
      <c r="AH330" s="16">
        <v>180048.8217</v>
      </c>
    </row>
    <row r="331" spans="2:34" ht="15">
      <c r="B331" s="4" t="s">
        <v>153</v>
      </c>
      <c r="C331" s="5">
        <v>43647</v>
      </c>
      <c r="D331" s="4" t="s">
        <v>154</v>
      </c>
      <c r="E331" s="4" t="s">
        <v>2014</v>
      </c>
      <c r="F331" s="4" t="s">
        <v>3</v>
      </c>
      <c r="G331" s="4" t="s">
        <v>4</v>
      </c>
      <c r="H331" s="4" t="s">
        <v>632</v>
      </c>
      <c r="I331" s="5">
        <v>43644</v>
      </c>
      <c r="J331" s="6">
        <v>0.5</v>
      </c>
      <c r="K331" s="5">
        <v>43648</v>
      </c>
      <c r="L331" s="4" t="s">
        <v>6</v>
      </c>
      <c r="M331" s="4"/>
      <c r="N331" s="4" t="s">
        <v>250</v>
      </c>
      <c r="O331" s="4" t="s">
        <v>251</v>
      </c>
      <c r="P331" s="4" t="s">
        <v>252</v>
      </c>
      <c r="Q331" s="4" t="s">
        <v>4</v>
      </c>
      <c r="R331" s="4" t="s">
        <v>4</v>
      </c>
      <c r="S331" s="4" t="s">
        <v>10</v>
      </c>
      <c r="T331" s="4"/>
      <c r="U331" s="4"/>
      <c r="V331" s="4"/>
      <c r="W331" s="4" t="s">
        <v>11</v>
      </c>
      <c r="X331" s="17">
        <v>8258</v>
      </c>
      <c r="Y331" s="17">
        <v>8258</v>
      </c>
      <c r="Z331" s="4" t="s">
        <v>2010</v>
      </c>
      <c r="AA331" s="4" t="s">
        <v>2016</v>
      </c>
      <c r="AB331" s="4" t="s">
        <v>2017</v>
      </c>
      <c r="AC331" s="4" t="s">
        <v>2018</v>
      </c>
      <c r="AD331" s="4" t="s">
        <v>17</v>
      </c>
      <c r="AE331" s="4" t="s">
        <v>18</v>
      </c>
      <c r="AF331" s="4" t="s">
        <v>19</v>
      </c>
      <c r="AG331" s="4" t="s">
        <v>19</v>
      </c>
      <c r="AH331" s="17">
        <v>16205.87829</v>
      </c>
    </row>
    <row r="332" spans="2:34" ht="15">
      <c r="B332" s="1" t="s">
        <v>0</v>
      </c>
      <c r="C332" s="2">
        <v>43648</v>
      </c>
      <c r="D332" s="1" t="s">
        <v>1</v>
      </c>
      <c r="E332" s="1" t="s">
        <v>884</v>
      </c>
      <c r="F332" s="1" t="s">
        <v>3</v>
      </c>
      <c r="G332" s="1" t="s">
        <v>4</v>
      </c>
      <c r="H332" s="1" t="s">
        <v>632</v>
      </c>
      <c r="I332" s="2">
        <v>43647</v>
      </c>
      <c r="J332" s="3">
        <v>0.4753935185185185</v>
      </c>
      <c r="K332" s="2">
        <v>43649</v>
      </c>
      <c r="L332" s="1" t="s">
        <v>6</v>
      </c>
      <c r="M332" s="1"/>
      <c r="N332" s="1" t="s">
        <v>391</v>
      </c>
      <c r="O332" s="1" t="s">
        <v>392</v>
      </c>
      <c r="P332" s="1" t="s">
        <v>698</v>
      </c>
      <c r="Q332" s="1" t="s">
        <v>4</v>
      </c>
      <c r="R332" s="1" t="s">
        <v>4</v>
      </c>
      <c r="S332" s="1" t="s">
        <v>10</v>
      </c>
      <c r="T332" s="1"/>
      <c r="U332" s="1"/>
      <c r="V332" s="1"/>
      <c r="W332" s="1" t="s">
        <v>11</v>
      </c>
      <c r="X332" s="16">
        <v>4700</v>
      </c>
      <c r="Y332" s="16">
        <v>4700</v>
      </c>
      <c r="Z332" s="1" t="s">
        <v>2019</v>
      </c>
      <c r="AA332" s="1" t="s">
        <v>2020</v>
      </c>
      <c r="AB332" s="1" t="s">
        <v>2021</v>
      </c>
      <c r="AC332" s="1" t="s">
        <v>2022</v>
      </c>
      <c r="AD332" s="1" t="s">
        <v>17</v>
      </c>
      <c r="AE332" s="1" t="s">
        <v>18</v>
      </c>
      <c r="AF332" s="1" t="s">
        <v>19</v>
      </c>
      <c r="AG332" s="1" t="s">
        <v>19</v>
      </c>
      <c r="AH332" s="16">
        <v>234529</v>
      </c>
    </row>
    <row r="333" spans="2:34" ht="15">
      <c r="B333" s="4" t="s">
        <v>20</v>
      </c>
      <c r="C333" s="5">
        <v>43650</v>
      </c>
      <c r="D333" s="4" t="s">
        <v>21</v>
      </c>
      <c r="E333" s="4" t="s">
        <v>2023</v>
      </c>
      <c r="F333" s="4" t="s">
        <v>3</v>
      </c>
      <c r="G333" s="4" t="s">
        <v>4</v>
      </c>
      <c r="H333" s="4" t="s">
        <v>126</v>
      </c>
      <c r="I333" s="5">
        <v>43649</v>
      </c>
      <c r="J333" s="6">
        <v>0.6633564814814815</v>
      </c>
      <c r="K333" s="5">
        <v>43651</v>
      </c>
      <c r="L333" s="4" t="s">
        <v>6</v>
      </c>
      <c r="M333" s="4"/>
      <c r="N333" s="4" t="s">
        <v>1175</v>
      </c>
      <c r="O333" s="4" t="s">
        <v>1176</v>
      </c>
      <c r="P333" s="4" t="s">
        <v>1177</v>
      </c>
      <c r="Q333" s="4" t="s">
        <v>4</v>
      </c>
      <c r="R333" s="4" t="s">
        <v>4</v>
      </c>
      <c r="S333" s="4" t="s">
        <v>10</v>
      </c>
      <c r="T333" s="4"/>
      <c r="U333" s="4"/>
      <c r="V333" s="4"/>
      <c r="W333" s="4" t="s">
        <v>11</v>
      </c>
      <c r="X333" s="17">
        <v>10000</v>
      </c>
      <c r="Y333" s="17">
        <v>10000</v>
      </c>
      <c r="Z333" s="4" t="s">
        <v>2001</v>
      </c>
      <c r="AA333" s="4" t="s">
        <v>2024</v>
      </c>
      <c r="AB333" s="4" t="s">
        <v>2025</v>
      </c>
      <c r="AC333" s="4" t="s">
        <v>2026</v>
      </c>
      <c r="AD333" s="4" t="s">
        <v>17</v>
      </c>
      <c r="AE333" s="4" t="s">
        <v>18</v>
      </c>
      <c r="AF333" s="4" t="s">
        <v>19</v>
      </c>
      <c r="AG333" s="4" t="s">
        <v>19</v>
      </c>
      <c r="AH333" s="17">
        <v>27543.8</v>
      </c>
    </row>
    <row r="334" spans="2:34" ht="15">
      <c r="B334" s="1" t="s">
        <v>20</v>
      </c>
      <c r="C334" s="2">
        <v>43650</v>
      </c>
      <c r="D334" s="1" t="s">
        <v>21</v>
      </c>
      <c r="E334" s="1" t="s">
        <v>2027</v>
      </c>
      <c r="F334" s="1" t="s">
        <v>3</v>
      </c>
      <c r="G334" s="1" t="s">
        <v>4</v>
      </c>
      <c r="H334" s="1" t="s">
        <v>126</v>
      </c>
      <c r="I334" s="2">
        <v>43649</v>
      </c>
      <c r="J334" s="3">
        <v>0.7129861111111111</v>
      </c>
      <c r="K334" s="2">
        <v>43651</v>
      </c>
      <c r="L334" s="1" t="s">
        <v>6</v>
      </c>
      <c r="M334" s="1"/>
      <c r="N334" s="1" t="s">
        <v>1175</v>
      </c>
      <c r="O334" s="1" t="s">
        <v>1176</v>
      </c>
      <c r="P334" s="1" t="s">
        <v>1177</v>
      </c>
      <c r="Q334" s="1" t="s">
        <v>4</v>
      </c>
      <c r="R334" s="1" t="s">
        <v>4</v>
      </c>
      <c r="S334" s="1" t="s">
        <v>10</v>
      </c>
      <c r="T334" s="1"/>
      <c r="U334" s="1"/>
      <c r="V334" s="1"/>
      <c r="W334" s="1" t="s">
        <v>11</v>
      </c>
      <c r="X334" s="16">
        <v>25000</v>
      </c>
      <c r="Y334" s="16">
        <v>25000</v>
      </c>
      <c r="Z334" s="1" t="s">
        <v>2001</v>
      </c>
      <c r="AA334" s="1" t="s">
        <v>2028</v>
      </c>
      <c r="AB334" s="1" t="s">
        <v>2029</v>
      </c>
      <c r="AC334" s="1" t="s">
        <v>2030</v>
      </c>
      <c r="AD334" s="1" t="s">
        <v>17</v>
      </c>
      <c r="AE334" s="1" t="s">
        <v>18</v>
      </c>
      <c r="AF334" s="1" t="s">
        <v>19</v>
      </c>
      <c r="AG334" s="1" t="s">
        <v>19</v>
      </c>
      <c r="AH334" s="16">
        <v>68861</v>
      </c>
    </row>
    <row r="335" spans="2:34" ht="15">
      <c r="B335" s="4" t="s">
        <v>20</v>
      </c>
      <c r="C335" s="5">
        <v>43651</v>
      </c>
      <c r="D335" s="4" t="s">
        <v>21</v>
      </c>
      <c r="E335" s="4" t="s">
        <v>2031</v>
      </c>
      <c r="F335" s="4" t="s">
        <v>3</v>
      </c>
      <c r="G335" s="4" t="s">
        <v>4</v>
      </c>
      <c r="H335" s="4" t="s">
        <v>109</v>
      </c>
      <c r="I335" s="5">
        <v>43650</v>
      </c>
      <c r="J335" s="6">
        <v>0.5729166666666666</v>
      </c>
      <c r="K335" s="5">
        <v>43654</v>
      </c>
      <c r="L335" s="4" t="s">
        <v>6</v>
      </c>
      <c r="M335" s="4"/>
      <c r="N335" s="4" t="s">
        <v>145</v>
      </c>
      <c r="O335" s="4" t="s">
        <v>146</v>
      </c>
      <c r="P335" s="4" t="s">
        <v>147</v>
      </c>
      <c r="Q335" s="4" t="s">
        <v>4</v>
      </c>
      <c r="R335" s="4" t="s">
        <v>4</v>
      </c>
      <c r="S335" s="4" t="s">
        <v>10</v>
      </c>
      <c r="T335" s="4"/>
      <c r="U335" s="4"/>
      <c r="V335" s="4"/>
      <c r="W335" s="4" t="s">
        <v>11</v>
      </c>
      <c r="X335" s="17">
        <v>450000</v>
      </c>
      <c r="Y335" s="17">
        <v>450000</v>
      </c>
      <c r="Z335" s="4" t="s">
        <v>2032</v>
      </c>
      <c r="AA335" s="4" t="s">
        <v>2033</v>
      </c>
      <c r="AB335" s="4" t="s">
        <v>2034</v>
      </c>
      <c r="AC335" s="4" t="s">
        <v>2035</v>
      </c>
      <c r="AD335" s="4" t="s">
        <v>17</v>
      </c>
      <c r="AE335" s="4" t="s">
        <v>18</v>
      </c>
      <c r="AF335" s="4" t="s">
        <v>19</v>
      </c>
      <c r="AG335" s="4" t="s">
        <v>19</v>
      </c>
      <c r="AH335" s="17">
        <v>1773944</v>
      </c>
    </row>
    <row r="336" spans="2:34" ht="15">
      <c r="B336" s="1" t="s">
        <v>20</v>
      </c>
      <c r="C336" s="2">
        <v>43651</v>
      </c>
      <c r="D336" s="1" t="s">
        <v>21</v>
      </c>
      <c r="E336" s="1" t="s">
        <v>2036</v>
      </c>
      <c r="F336" s="1" t="s">
        <v>3</v>
      </c>
      <c r="G336" s="1" t="s">
        <v>4</v>
      </c>
      <c r="H336" s="1" t="s">
        <v>119</v>
      </c>
      <c r="I336" s="2">
        <v>43650</v>
      </c>
      <c r="J336" s="3">
        <v>0.4873032407407407</v>
      </c>
      <c r="K336" s="2">
        <v>43654</v>
      </c>
      <c r="L336" s="1" t="s">
        <v>6</v>
      </c>
      <c r="M336" s="1"/>
      <c r="N336" s="1" t="s">
        <v>110</v>
      </c>
      <c r="O336" s="1" t="s">
        <v>111</v>
      </c>
      <c r="P336" s="1" t="s">
        <v>112</v>
      </c>
      <c r="Q336" s="1" t="s">
        <v>4</v>
      </c>
      <c r="R336" s="1" t="s">
        <v>4</v>
      </c>
      <c r="S336" s="1" t="s">
        <v>10</v>
      </c>
      <c r="T336" s="1"/>
      <c r="U336" s="1"/>
      <c r="V336" s="1"/>
      <c r="W336" s="1" t="s">
        <v>11</v>
      </c>
      <c r="X336" s="16">
        <v>40000</v>
      </c>
      <c r="Y336" s="16">
        <v>40000</v>
      </c>
      <c r="Z336" s="1" t="s">
        <v>413</v>
      </c>
      <c r="AA336" s="1" t="s">
        <v>2037</v>
      </c>
      <c r="AB336" s="1" t="s">
        <v>2038</v>
      </c>
      <c r="AC336" s="1" t="s">
        <v>2039</v>
      </c>
      <c r="AD336" s="1" t="s">
        <v>17</v>
      </c>
      <c r="AE336" s="1" t="s">
        <v>18</v>
      </c>
      <c r="AF336" s="1" t="s">
        <v>19</v>
      </c>
      <c r="AG336" s="1" t="s">
        <v>19</v>
      </c>
      <c r="AH336" s="16">
        <v>107783</v>
      </c>
    </row>
    <row r="337" spans="2:34" ht="15">
      <c r="B337" s="4" t="s">
        <v>20</v>
      </c>
      <c r="C337" s="5">
        <v>43651</v>
      </c>
      <c r="D337" s="4" t="s">
        <v>21</v>
      </c>
      <c r="E337" s="4" t="s">
        <v>2040</v>
      </c>
      <c r="F337" s="4" t="s">
        <v>3</v>
      </c>
      <c r="G337" s="4" t="s">
        <v>4</v>
      </c>
      <c r="H337" s="4" t="s">
        <v>119</v>
      </c>
      <c r="I337" s="5">
        <v>43650</v>
      </c>
      <c r="J337" s="6">
        <v>0.6240972222222222</v>
      </c>
      <c r="K337" s="5">
        <v>43654</v>
      </c>
      <c r="L337" s="4" t="s">
        <v>6</v>
      </c>
      <c r="M337" s="4"/>
      <c r="N337" s="4" t="s">
        <v>110</v>
      </c>
      <c r="O337" s="4" t="s">
        <v>111</v>
      </c>
      <c r="P337" s="4" t="s">
        <v>112</v>
      </c>
      <c r="Q337" s="4" t="s">
        <v>4</v>
      </c>
      <c r="R337" s="4" t="s">
        <v>4</v>
      </c>
      <c r="S337" s="4" t="s">
        <v>10</v>
      </c>
      <c r="T337" s="4"/>
      <c r="U337" s="4"/>
      <c r="V337" s="4"/>
      <c r="W337" s="4" t="s">
        <v>11</v>
      </c>
      <c r="X337" s="17">
        <v>60000</v>
      </c>
      <c r="Y337" s="17">
        <v>60000</v>
      </c>
      <c r="Z337" s="4" t="s">
        <v>413</v>
      </c>
      <c r="AA337" s="4" t="s">
        <v>2042</v>
      </c>
      <c r="AB337" s="4" t="s">
        <v>2043</v>
      </c>
      <c r="AC337" s="4" t="s">
        <v>2044</v>
      </c>
      <c r="AD337" s="4" t="s">
        <v>17</v>
      </c>
      <c r="AE337" s="4" t="s">
        <v>18</v>
      </c>
      <c r="AF337" s="4" t="s">
        <v>19</v>
      </c>
      <c r="AG337" s="4" t="s">
        <v>19</v>
      </c>
      <c r="AH337" s="17">
        <v>161675</v>
      </c>
    </row>
    <row r="338" spans="2:34" ht="15">
      <c r="B338" s="1" t="s">
        <v>20</v>
      </c>
      <c r="C338" s="2">
        <v>43651</v>
      </c>
      <c r="D338" s="1" t="s">
        <v>21</v>
      </c>
      <c r="E338" s="1" t="s">
        <v>2045</v>
      </c>
      <c r="F338" s="1" t="s">
        <v>3</v>
      </c>
      <c r="G338" s="1" t="s">
        <v>4</v>
      </c>
      <c r="H338" s="1" t="s">
        <v>632</v>
      </c>
      <c r="I338" s="2">
        <v>43650</v>
      </c>
      <c r="J338" s="3">
        <v>0.6934837962962963</v>
      </c>
      <c r="K338" s="2">
        <v>43654</v>
      </c>
      <c r="L338" s="1" t="s">
        <v>6</v>
      </c>
      <c r="M338" s="1"/>
      <c r="N338" s="1" t="s">
        <v>110</v>
      </c>
      <c r="O338" s="1" t="s">
        <v>111</v>
      </c>
      <c r="P338" s="1" t="s">
        <v>112</v>
      </c>
      <c r="Q338" s="1" t="s">
        <v>4</v>
      </c>
      <c r="R338" s="1" t="s">
        <v>4</v>
      </c>
      <c r="S338" s="1" t="s">
        <v>10</v>
      </c>
      <c r="T338" s="1"/>
      <c r="U338" s="1"/>
      <c r="V338" s="1"/>
      <c r="W338" s="1" t="s">
        <v>11</v>
      </c>
      <c r="X338" s="16">
        <v>25000</v>
      </c>
      <c r="Y338" s="16">
        <v>25000</v>
      </c>
      <c r="Z338" s="1" t="s">
        <v>413</v>
      </c>
      <c r="AA338" s="1" t="s">
        <v>2046</v>
      </c>
      <c r="AB338" s="1" t="s">
        <v>2047</v>
      </c>
      <c r="AC338" s="1" t="s">
        <v>2048</v>
      </c>
      <c r="AD338" s="1" t="s">
        <v>17</v>
      </c>
      <c r="AE338" s="1" t="s">
        <v>18</v>
      </c>
      <c r="AF338" s="1" t="s">
        <v>19</v>
      </c>
      <c r="AG338" s="1" t="s">
        <v>19</v>
      </c>
      <c r="AH338" s="16">
        <v>67364</v>
      </c>
    </row>
    <row r="339" spans="2:34" ht="15">
      <c r="B339" s="4" t="s">
        <v>20</v>
      </c>
      <c r="C339" s="5">
        <v>43651</v>
      </c>
      <c r="D339" s="4" t="s">
        <v>21</v>
      </c>
      <c r="E339" s="4" t="s">
        <v>2049</v>
      </c>
      <c r="F339" s="4" t="s">
        <v>3</v>
      </c>
      <c r="G339" s="4" t="s">
        <v>4</v>
      </c>
      <c r="H339" s="4" t="s">
        <v>126</v>
      </c>
      <c r="I339" s="5">
        <v>43650</v>
      </c>
      <c r="J339" s="6">
        <v>0.6949537037037037</v>
      </c>
      <c r="K339" s="5">
        <v>43654</v>
      </c>
      <c r="L339" s="4" t="s">
        <v>6</v>
      </c>
      <c r="M339" s="4"/>
      <c r="N339" s="4" t="s">
        <v>1175</v>
      </c>
      <c r="O339" s="4" t="s">
        <v>1176</v>
      </c>
      <c r="P339" s="4" t="s">
        <v>1177</v>
      </c>
      <c r="Q339" s="4" t="s">
        <v>4</v>
      </c>
      <c r="R339" s="4" t="s">
        <v>4</v>
      </c>
      <c r="S339" s="4" t="s">
        <v>10</v>
      </c>
      <c r="T339" s="4"/>
      <c r="U339" s="4"/>
      <c r="V339" s="4"/>
      <c r="W339" s="4" t="s">
        <v>11</v>
      </c>
      <c r="X339" s="17">
        <v>10000</v>
      </c>
      <c r="Y339" s="17">
        <v>10000</v>
      </c>
      <c r="Z339" s="4" t="s">
        <v>2001</v>
      </c>
      <c r="AA339" s="4" t="s">
        <v>2024</v>
      </c>
      <c r="AB339" s="4" t="s">
        <v>2025</v>
      </c>
      <c r="AC339" s="4" t="s">
        <v>2026</v>
      </c>
      <c r="AD339" s="4" t="s">
        <v>17</v>
      </c>
      <c r="AE339" s="4" t="s">
        <v>18</v>
      </c>
      <c r="AF339" s="4" t="s">
        <v>19</v>
      </c>
      <c r="AG339" s="4" t="s">
        <v>19</v>
      </c>
      <c r="AH339" s="17">
        <v>27543.8</v>
      </c>
    </row>
    <row r="340" spans="2:34" ht="15">
      <c r="B340" s="1" t="s">
        <v>20</v>
      </c>
      <c r="C340" s="2">
        <v>43654</v>
      </c>
      <c r="D340" s="1" t="s">
        <v>21</v>
      </c>
      <c r="E340" s="1" t="s">
        <v>2050</v>
      </c>
      <c r="F340" s="1" t="s">
        <v>3</v>
      </c>
      <c r="G340" s="1" t="s">
        <v>4</v>
      </c>
      <c r="H340" s="1" t="s">
        <v>126</v>
      </c>
      <c r="I340" s="2">
        <v>43651</v>
      </c>
      <c r="J340" s="3">
        <v>0.6621759259259259</v>
      </c>
      <c r="K340" s="2">
        <v>43655</v>
      </c>
      <c r="L340" s="1" t="s">
        <v>6</v>
      </c>
      <c r="M340" s="1"/>
      <c r="N340" s="1" t="s">
        <v>459</v>
      </c>
      <c r="O340" s="1" t="s">
        <v>460</v>
      </c>
      <c r="P340" s="1" t="s">
        <v>461</v>
      </c>
      <c r="Q340" s="1" t="s">
        <v>4</v>
      </c>
      <c r="R340" s="1" t="s">
        <v>4</v>
      </c>
      <c r="S340" s="1" t="s">
        <v>10</v>
      </c>
      <c r="T340" s="1"/>
      <c r="U340" s="1"/>
      <c r="V340" s="1"/>
      <c r="W340" s="1" t="s">
        <v>11</v>
      </c>
      <c r="X340" s="16">
        <v>50000</v>
      </c>
      <c r="Y340" s="16">
        <v>50000</v>
      </c>
      <c r="Z340" s="1" t="s">
        <v>1539</v>
      </c>
      <c r="AA340" s="1" t="s">
        <v>2051</v>
      </c>
      <c r="AB340" s="1" t="s">
        <v>2052</v>
      </c>
      <c r="AC340" s="1" t="s">
        <v>2053</v>
      </c>
      <c r="AD340" s="1" t="s">
        <v>17</v>
      </c>
      <c r="AE340" s="1" t="s">
        <v>18</v>
      </c>
      <c r="AF340" s="1" t="s">
        <v>19</v>
      </c>
      <c r="AG340" s="1" t="s">
        <v>19</v>
      </c>
      <c r="AH340" s="16">
        <v>294409</v>
      </c>
    </row>
    <row r="341" spans="2:34" ht="15">
      <c r="B341" s="4" t="s">
        <v>20</v>
      </c>
      <c r="C341" s="5">
        <v>43654</v>
      </c>
      <c r="D341" s="4" t="s">
        <v>21</v>
      </c>
      <c r="E341" s="4" t="s">
        <v>2054</v>
      </c>
      <c r="F341" s="4" t="s">
        <v>3</v>
      </c>
      <c r="G341" s="4" t="s">
        <v>4</v>
      </c>
      <c r="H341" s="4" t="s">
        <v>1277</v>
      </c>
      <c r="I341" s="5">
        <v>43651</v>
      </c>
      <c r="J341" s="6">
        <v>0.5347222222222222</v>
      </c>
      <c r="K341" s="5">
        <v>43655</v>
      </c>
      <c r="L341" s="4" t="s">
        <v>6</v>
      </c>
      <c r="M341" s="4"/>
      <c r="N341" s="4" t="s">
        <v>459</v>
      </c>
      <c r="O341" s="4" t="s">
        <v>460</v>
      </c>
      <c r="P341" s="4" t="s">
        <v>461</v>
      </c>
      <c r="Q341" s="4" t="s">
        <v>4</v>
      </c>
      <c r="R341" s="4" t="s">
        <v>4</v>
      </c>
      <c r="S341" s="4" t="s">
        <v>10</v>
      </c>
      <c r="T341" s="4"/>
      <c r="U341" s="4"/>
      <c r="V341" s="4"/>
      <c r="W341" s="4" t="s">
        <v>11</v>
      </c>
      <c r="X341" s="17">
        <v>100000</v>
      </c>
      <c r="Y341" s="17">
        <v>100000</v>
      </c>
      <c r="Z341" s="4" t="s">
        <v>2055</v>
      </c>
      <c r="AA341" s="4" t="s">
        <v>2056</v>
      </c>
      <c r="AB341" s="4" t="s">
        <v>2057</v>
      </c>
      <c r="AC341" s="4" t="s">
        <v>2058</v>
      </c>
      <c r="AD341" s="4" t="s">
        <v>17</v>
      </c>
      <c r="AE341" s="4" t="s">
        <v>18</v>
      </c>
      <c r="AF341" s="4" t="s">
        <v>19</v>
      </c>
      <c r="AG341" s="4" t="s">
        <v>19</v>
      </c>
      <c r="AH341" s="17">
        <v>589817</v>
      </c>
    </row>
    <row r="342" spans="2:34" ht="15">
      <c r="B342" s="1" t="s">
        <v>20</v>
      </c>
      <c r="C342" s="2">
        <v>43654</v>
      </c>
      <c r="D342" s="1" t="s">
        <v>21</v>
      </c>
      <c r="E342" s="1" t="s">
        <v>2059</v>
      </c>
      <c r="F342" s="1" t="s">
        <v>3</v>
      </c>
      <c r="G342" s="1" t="s">
        <v>4</v>
      </c>
      <c r="H342" s="1" t="s">
        <v>1277</v>
      </c>
      <c r="I342" s="2">
        <v>43651</v>
      </c>
      <c r="J342" s="3">
        <v>0.6256944444444444</v>
      </c>
      <c r="K342" s="2">
        <v>43655</v>
      </c>
      <c r="L342" s="1" t="s">
        <v>6</v>
      </c>
      <c r="M342" s="1"/>
      <c r="N342" s="1" t="s">
        <v>459</v>
      </c>
      <c r="O342" s="1" t="s">
        <v>460</v>
      </c>
      <c r="P342" s="1" t="s">
        <v>461</v>
      </c>
      <c r="Q342" s="1" t="s">
        <v>4</v>
      </c>
      <c r="R342" s="1" t="s">
        <v>4</v>
      </c>
      <c r="S342" s="1" t="s">
        <v>10</v>
      </c>
      <c r="T342" s="1"/>
      <c r="U342" s="1"/>
      <c r="V342" s="1"/>
      <c r="W342" s="1" t="s">
        <v>11</v>
      </c>
      <c r="X342" s="16">
        <v>60000</v>
      </c>
      <c r="Y342" s="16">
        <v>60000</v>
      </c>
      <c r="Z342" s="1" t="s">
        <v>2055</v>
      </c>
      <c r="AA342" s="1" t="s">
        <v>2060</v>
      </c>
      <c r="AB342" s="1" t="s">
        <v>2061</v>
      </c>
      <c r="AC342" s="1" t="s">
        <v>2062</v>
      </c>
      <c r="AD342" s="1" t="s">
        <v>17</v>
      </c>
      <c r="AE342" s="1" t="s">
        <v>18</v>
      </c>
      <c r="AF342" s="1" t="s">
        <v>19</v>
      </c>
      <c r="AG342" s="1" t="s">
        <v>19</v>
      </c>
      <c r="AH342" s="16">
        <v>353889.8</v>
      </c>
    </row>
    <row r="343" spans="2:34" ht="15">
      <c r="B343" s="4" t="s">
        <v>20</v>
      </c>
      <c r="C343" s="5">
        <v>43654</v>
      </c>
      <c r="D343" s="4" t="s">
        <v>21</v>
      </c>
      <c r="E343" s="4" t="s">
        <v>2063</v>
      </c>
      <c r="F343" s="4" t="s">
        <v>3</v>
      </c>
      <c r="G343" s="4" t="s">
        <v>4</v>
      </c>
      <c r="H343" s="4" t="s">
        <v>126</v>
      </c>
      <c r="I343" s="5">
        <v>43651</v>
      </c>
      <c r="J343" s="6">
        <v>0.6933333333333334</v>
      </c>
      <c r="K343" s="5">
        <v>43655</v>
      </c>
      <c r="L343" s="4" t="s">
        <v>6</v>
      </c>
      <c r="M343" s="4"/>
      <c r="N343" s="4" t="s">
        <v>1175</v>
      </c>
      <c r="O343" s="4" t="s">
        <v>1176</v>
      </c>
      <c r="P343" s="4" t="s">
        <v>1177</v>
      </c>
      <c r="Q343" s="4" t="s">
        <v>4</v>
      </c>
      <c r="R343" s="4" t="s">
        <v>4</v>
      </c>
      <c r="S343" s="4" t="s">
        <v>10</v>
      </c>
      <c r="T343" s="4"/>
      <c r="U343" s="4"/>
      <c r="V343" s="4"/>
      <c r="W343" s="4" t="s">
        <v>11</v>
      </c>
      <c r="X343" s="17">
        <v>3889</v>
      </c>
      <c r="Y343" s="17">
        <v>3889</v>
      </c>
      <c r="Z343" s="4" t="s">
        <v>2065</v>
      </c>
      <c r="AA343" s="4" t="s">
        <v>2066</v>
      </c>
      <c r="AB343" s="4" t="s">
        <v>2067</v>
      </c>
      <c r="AC343" s="4" t="s">
        <v>2068</v>
      </c>
      <c r="AD343" s="4" t="s">
        <v>17</v>
      </c>
      <c r="AE343" s="4" t="s">
        <v>18</v>
      </c>
      <c r="AF343" s="4" t="s">
        <v>19</v>
      </c>
      <c r="AG343" s="4" t="s">
        <v>19</v>
      </c>
      <c r="AH343" s="17">
        <v>10641.31072</v>
      </c>
    </row>
    <row r="344" spans="2:34" ht="15">
      <c r="B344" s="1" t="s">
        <v>20</v>
      </c>
      <c r="C344" s="2">
        <v>43654</v>
      </c>
      <c r="D344" s="1" t="s">
        <v>21</v>
      </c>
      <c r="E344" s="1" t="s">
        <v>2069</v>
      </c>
      <c r="F344" s="1" t="s">
        <v>3</v>
      </c>
      <c r="G344" s="1" t="s">
        <v>4</v>
      </c>
      <c r="H344" s="1" t="s">
        <v>119</v>
      </c>
      <c r="I344" s="2">
        <v>43651</v>
      </c>
      <c r="J344" s="3">
        <v>0.6819444444444445</v>
      </c>
      <c r="K344" s="2">
        <v>43655</v>
      </c>
      <c r="L344" s="1" t="s">
        <v>6</v>
      </c>
      <c r="M344" s="1"/>
      <c r="N344" s="1" t="s">
        <v>110</v>
      </c>
      <c r="O344" s="1" t="s">
        <v>111</v>
      </c>
      <c r="P344" s="1" t="s">
        <v>112</v>
      </c>
      <c r="Q344" s="1" t="s">
        <v>4</v>
      </c>
      <c r="R344" s="1" t="s">
        <v>4</v>
      </c>
      <c r="S344" s="1" t="s">
        <v>10</v>
      </c>
      <c r="T344" s="1"/>
      <c r="U344" s="1"/>
      <c r="V344" s="1"/>
      <c r="W344" s="1" t="s">
        <v>11</v>
      </c>
      <c r="X344" s="16">
        <v>33000</v>
      </c>
      <c r="Y344" s="16">
        <v>33000</v>
      </c>
      <c r="Z344" s="1" t="s">
        <v>413</v>
      </c>
      <c r="AA344" s="1" t="s">
        <v>2070</v>
      </c>
      <c r="AB344" s="1" t="s">
        <v>2071</v>
      </c>
      <c r="AC344" s="1" t="s">
        <v>2072</v>
      </c>
      <c r="AD344" s="1" t="s">
        <v>17</v>
      </c>
      <c r="AE344" s="1" t="s">
        <v>18</v>
      </c>
      <c r="AF344" s="1" t="s">
        <v>19</v>
      </c>
      <c r="AG344" s="1" t="s">
        <v>19</v>
      </c>
      <c r="AH344" s="16">
        <v>88920.8</v>
      </c>
    </row>
    <row r="345" spans="2:34" ht="15">
      <c r="B345" s="4" t="s">
        <v>153</v>
      </c>
      <c r="C345" s="5">
        <v>43654</v>
      </c>
      <c r="D345" s="4" t="s">
        <v>154</v>
      </c>
      <c r="E345" s="4" t="s">
        <v>2073</v>
      </c>
      <c r="F345" s="4" t="s">
        <v>3</v>
      </c>
      <c r="G345" s="4" t="s">
        <v>4</v>
      </c>
      <c r="H345" s="4" t="s">
        <v>109</v>
      </c>
      <c r="I345" s="5">
        <v>43651</v>
      </c>
      <c r="J345" s="6">
        <v>0.6354166666666666</v>
      </c>
      <c r="K345" s="5">
        <v>43655</v>
      </c>
      <c r="L345" s="4" t="s">
        <v>6</v>
      </c>
      <c r="M345" s="4"/>
      <c r="N345" s="4" t="s">
        <v>39</v>
      </c>
      <c r="O345" s="4" t="s">
        <v>40</v>
      </c>
      <c r="P345" s="4" t="s">
        <v>41</v>
      </c>
      <c r="Q345" s="4" t="s">
        <v>4</v>
      </c>
      <c r="R345" s="4" t="s">
        <v>4</v>
      </c>
      <c r="S345" s="4" t="s">
        <v>10</v>
      </c>
      <c r="T345" s="4"/>
      <c r="U345" s="4"/>
      <c r="V345" s="4"/>
      <c r="W345" s="4" t="s">
        <v>27</v>
      </c>
      <c r="X345" s="17">
        <v>5500</v>
      </c>
      <c r="Y345" s="17">
        <v>5500</v>
      </c>
      <c r="Z345" s="4" t="s">
        <v>2074</v>
      </c>
      <c r="AA345" s="4" t="s">
        <v>2075</v>
      </c>
      <c r="AB345" s="4" t="s">
        <v>2076</v>
      </c>
      <c r="AC345" s="4" t="s">
        <v>2077</v>
      </c>
      <c r="AD345" s="4" t="s">
        <v>17</v>
      </c>
      <c r="AE345" s="4" t="s">
        <v>17</v>
      </c>
      <c r="AF345" s="4" t="s">
        <v>19</v>
      </c>
      <c r="AG345" s="4" t="s">
        <v>19</v>
      </c>
      <c r="AH345" s="17">
        <v>6392.76</v>
      </c>
    </row>
    <row r="346" spans="2:34" ht="15">
      <c r="B346" s="1" t="s">
        <v>20</v>
      </c>
      <c r="C346" s="2">
        <v>43655</v>
      </c>
      <c r="D346" s="1" t="s">
        <v>21</v>
      </c>
      <c r="E346" s="1" t="s">
        <v>2078</v>
      </c>
      <c r="F346" s="1" t="s">
        <v>3</v>
      </c>
      <c r="G346" s="1" t="s">
        <v>4</v>
      </c>
      <c r="H346" s="1" t="s">
        <v>119</v>
      </c>
      <c r="I346" s="2">
        <v>43654</v>
      </c>
      <c r="J346" s="3">
        <v>0.6850462962962963</v>
      </c>
      <c r="K346" s="2">
        <v>43656</v>
      </c>
      <c r="L346" s="1" t="s">
        <v>6</v>
      </c>
      <c r="M346" s="1"/>
      <c r="N346" s="1" t="s">
        <v>110</v>
      </c>
      <c r="O346" s="1" t="s">
        <v>111</v>
      </c>
      <c r="P346" s="1" t="s">
        <v>112</v>
      </c>
      <c r="Q346" s="1" t="s">
        <v>4</v>
      </c>
      <c r="R346" s="1" t="s">
        <v>4</v>
      </c>
      <c r="S346" s="1" t="s">
        <v>10</v>
      </c>
      <c r="T346" s="1"/>
      <c r="U346" s="1"/>
      <c r="V346" s="1"/>
      <c r="W346" s="1" t="s">
        <v>11</v>
      </c>
      <c r="X346" s="16">
        <v>8000</v>
      </c>
      <c r="Y346" s="16">
        <v>8000</v>
      </c>
      <c r="Z346" s="1" t="s">
        <v>413</v>
      </c>
      <c r="AA346" s="1" t="s">
        <v>2079</v>
      </c>
      <c r="AB346" s="1" t="s">
        <v>2080</v>
      </c>
      <c r="AC346" s="1" t="s">
        <v>2081</v>
      </c>
      <c r="AD346" s="1" t="s">
        <v>17</v>
      </c>
      <c r="AE346" s="1" t="s">
        <v>18</v>
      </c>
      <c r="AF346" s="1" t="s">
        <v>19</v>
      </c>
      <c r="AG346" s="1" t="s">
        <v>19</v>
      </c>
      <c r="AH346" s="16">
        <v>21555.8</v>
      </c>
    </row>
    <row r="347" spans="2:34" ht="15">
      <c r="B347" s="4" t="s">
        <v>20</v>
      </c>
      <c r="C347" s="5">
        <v>43655</v>
      </c>
      <c r="D347" s="4" t="s">
        <v>21</v>
      </c>
      <c r="E347" s="4" t="s">
        <v>2082</v>
      </c>
      <c r="F347" s="4" t="s">
        <v>3</v>
      </c>
      <c r="G347" s="4" t="s">
        <v>4</v>
      </c>
      <c r="H347" s="4" t="s">
        <v>126</v>
      </c>
      <c r="I347" s="5">
        <v>43654</v>
      </c>
      <c r="J347" s="6">
        <v>0.6973263888888889</v>
      </c>
      <c r="K347" s="5">
        <v>43656</v>
      </c>
      <c r="L347" s="4" t="s">
        <v>6</v>
      </c>
      <c r="M347" s="4"/>
      <c r="N347" s="4" t="s">
        <v>1175</v>
      </c>
      <c r="O347" s="4" t="s">
        <v>1176</v>
      </c>
      <c r="P347" s="4" t="s">
        <v>1177</v>
      </c>
      <c r="Q347" s="4" t="s">
        <v>4</v>
      </c>
      <c r="R347" s="4" t="s">
        <v>4</v>
      </c>
      <c r="S347" s="4" t="s">
        <v>10</v>
      </c>
      <c r="T347" s="4"/>
      <c r="U347" s="4"/>
      <c r="V347" s="4"/>
      <c r="W347" s="4" t="s">
        <v>11</v>
      </c>
      <c r="X347" s="17">
        <v>25000</v>
      </c>
      <c r="Y347" s="17">
        <v>25000</v>
      </c>
      <c r="Z347" s="4" t="s">
        <v>2083</v>
      </c>
      <c r="AA347" s="4" t="s">
        <v>2084</v>
      </c>
      <c r="AB347" s="4" t="s">
        <v>2085</v>
      </c>
      <c r="AC347" s="4" t="s">
        <v>2086</v>
      </c>
      <c r="AD347" s="4" t="s">
        <v>17</v>
      </c>
      <c r="AE347" s="4" t="s">
        <v>18</v>
      </c>
      <c r="AF347" s="4" t="s">
        <v>19</v>
      </c>
      <c r="AG347" s="4" t="s">
        <v>19</v>
      </c>
      <c r="AH347" s="17">
        <v>68362</v>
      </c>
    </row>
    <row r="348" spans="2:34" ht="15">
      <c r="B348" s="1" t="s">
        <v>20</v>
      </c>
      <c r="C348" s="2">
        <v>43656</v>
      </c>
      <c r="D348" s="1" t="s">
        <v>21</v>
      </c>
      <c r="E348" s="1" t="s">
        <v>2082</v>
      </c>
      <c r="F348" s="1" t="s">
        <v>3</v>
      </c>
      <c r="G348" s="1" t="s">
        <v>4</v>
      </c>
      <c r="H348" s="1" t="s">
        <v>1277</v>
      </c>
      <c r="I348" s="2">
        <v>43655</v>
      </c>
      <c r="J348" s="3">
        <v>0.3423611111111111</v>
      </c>
      <c r="K348" s="2">
        <v>43657</v>
      </c>
      <c r="L348" s="1" t="s">
        <v>6</v>
      </c>
      <c r="M348" s="1"/>
      <c r="N348" s="1" t="s">
        <v>1407</v>
      </c>
      <c r="O348" s="1" t="s">
        <v>1408</v>
      </c>
      <c r="P348" s="1" t="s">
        <v>1409</v>
      </c>
      <c r="Q348" s="1" t="s">
        <v>4</v>
      </c>
      <c r="R348" s="1" t="s">
        <v>4</v>
      </c>
      <c r="S348" s="1" t="s">
        <v>10</v>
      </c>
      <c r="T348" s="1"/>
      <c r="U348" s="1"/>
      <c r="V348" s="1"/>
      <c r="W348" s="1" t="s">
        <v>27</v>
      </c>
      <c r="X348" s="16">
        <v>16300</v>
      </c>
      <c r="Y348" s="16">
        <v>16300</v>
      </c>
      <c r="Z348" s="1" t="s">
        <v>981</v>
      </c>
      <c r="AA348" s="1" t="s">
        <v>2087</v>
      </c>
      <c r="AB348" s="1" t="s">
        <v>2088</v>
      </c>
      <c r="AC348" s="1" t="s">
        <v>2089</v>
      </c>
      <c r="AD348" s="1" t="s">
        <v>17</v>
      </c>
      <c r="AE348" s="1" t="s">
        <v>18</v>
      </c>
      <c r="AF348" s="1" t="s">
        <v>19</v>
      </c>
      <c r="AG348" s="1" t="s">
        <v>19</v>
      </c>
      <c r="AH348" s="16">
        <v>35279.416</v>
      </c>
    </row>
    <row r="349" spans="2:34" ht="15">
      <c r="B349" s="4" t="s">
        <v>20</v>
      </c>
      <c r="C349" s="5">
        <v>43656</v>
      </c>
      <c r="D349" s="4" t="s">
        <v>21</v>
      </c>
      <c r="E349" s="4" t="s">
        <v>2090</v>
      </c>
      <c r="F349" s="4" t="s">
        <v>3</v>
      </c>
      <c r="G349" s="4" t="s">
        <v>4</v>
      </c>
      <c r="H349" s="4" t="s">
        <v>632</v>
      </c>
      <c r="I349" s="5">
        <v>43655</v>
      </c>
      <c r="J349" s="6">
        <v>0.4588541666666667</v>
      </c>
      <c r="K349" s="5">
        <v>43657</v>
      </c>
      <c r="L349" s="4" t="s">
        <v>6</v>
      </c>
      <c r="M349" s="4"/>
      <c r="N349" s="4" t="s">
        <v>2091</v>
      </c>
      <c r="O349" s="4" t="s">
        <v>2092</v>
      </c>
      <c r="P349" s="4" t="s">
        <v>2093</v>
      </c>
      <c r="Q349" s="4" t="s">
        <v>4</v>
      </c>
      <c r="R349" s="4" t="s">
        <v>4</v>
      </c>
      <c r="S349" s="4" t="s">
        <v>10</v>
      </c>
      <c r="T349" s="4"/>
      <c r="U349" s="4"/>
      <c r="V349" s="4"/>
      <c r="W349" s="4" t="s">
        <v>27</v>
      </c>
      <c r="X349" s="17">
        <v>105000</v>
      </c>
      <c r="Y349" s="17">
        <v>105000</v>
      </c>
      <c r="Z349" s="4" t="s">
        <v>178</v>
      </c>
      <c r="AA349" s="4" t="s">
        <v>2095</v>
      </c>
      <c r="AB349" s="4" t="s">
        <v>2096</v>
      </c>
      <c r="AC349" s="4" t="s">
        <v>2097</v>
      </c>
      <c r="AD349" s="4" t="s">
        <v>17</v>
      </c>
      <c r="AE349" s="4" t="s">
        <v>18</v>
      </c>
      <c r="AF349" s="4" t="s">
        <v>19</v>
      </c>
      <c r="AG349" s="4" t="s">
        <v>19</v>
      </c>
      <c r="AH349" s="17">
        <v>87325.3</v>
      </c>
    </row>
    <row r="350" spans="2:34" ht="15">
      <c r="B350" s="1" t="s">
        <v>20</v>
      </c>
      <c r="C350" s="2">
        <v>43656</v>
      </c>
      <c r="D350" s="1" t="s">
        <v>21</v>
      </c>
      <c r="E350" s="1" t="s">
        <v>2098</v>
      </c>
      <c r="F350" s="1" t="s">
        <v>3</v>
      </c>
      <c r="G350" s="1" t="s">
        <v>4</v>
      </c>
      <c r="H350" s="1" t="s">
        <v>632</v>
      </c>
      <c r="I350" s="2">
        <v>43655</v>
      </c>
      <c r="J350" s="3">
        <v>0.6866087962962963</v>
      </c>
      <c r="K350" s="2">
        <v>43657</v>
      </c>
      <c r="L350" s="1" t="s">
        <v>6</v>
      </c>
      <c r="M350" s="1"/>
      <c r="N350" s="1" t="s">
        <v>2099</v>
      </c>
      <c r="O350" s="1" t="s">
        <v>111</v>
      </c>
      <c r="P350" s="1" t="s">
        <v>112</v>
      </c>
      <c r="Q350" s="1" t="s">
        <v>4</v>
      </c>
      <c r="R350" s="1" t="s">
        <v>4</v>
      </c>
      <c r="S350" s="1" t="s">
        <v>10</v>
      </c>
      <c r="T350" s="1"/>
      <c r="U350" s="1"/>
      <c r="V350" s="1"/>
      <c r="W350" s="1" t="s">
        <v>11</v>
      </c>
      <c r="X350" s="16">
        <v>65000</v>
      </c>
      <c r="Y350" s="16">
        <v>65000</v>
      </c>
      <c r="Z350" s="1" t="s">
        <v>2100</v>
      </c>
      <c r="AA350" s="1" t="s">
        <v>2101</v>
      </c>
      <c r="AB350" s="1" t="s">
        <v>2102</v>
      </c>
      <c r="AC350" s="1" t="s">
        <v>2103</v>
      </c>
      <c r="AD350" s="1" t="s">
        <v>17</v>
      </c>
      <c r="AE350" s="1" t="s">
        <v>18</v>
      </c>
      <c r="AF350" s="1" t="s">
        <v>19</v>
      </c>
      <c r="AG350" s="1" t="s">
        <v>19</v>
      </c>
      <c r="AH350" s="16">
        <v>183181.903</v>
      </c>
    </row>
    <row r="351" spans="2:34" ht="15">
      <c r="B351" s="4" t="s">
        <v>0</v>
      </c>
      <c r="C351" s="5">
        <v>43656</v>
      </c>
      <c r="D351" s="4" t="s">
        <v>1</v>
      </c>
      <c r="E351" s="4" t="s">
        <v>893</v>
      </c>
      <c r="F351" s="4" t="s">
        <v>3</v>
      </c>
      <c r="G351" s="4" t="s">
        <v>4</v>
      </c>
      <c r="H351" s="4" t="s">
        <v>1277</v>
      </c>
      <c r="I351" s="5">
        <v>43655</v>
      </c>
      <c r="J351" s="6">
        <v>0.3423611111111111</v>
      </c>
      <c r="K351" s="5">
        <v>43657</v>
      </c>
      <c r="L351" s="4" t="s">
        <v>6</v>
      </c>
      <c r="M351" s="4"/>
      <c r="N351" s="4" t="s">
        <v>1407</v>
      </c>
      <c r="O351" s="4" t="s">
        <v>1408</v>
      </c>
      <c r="P351" s="4" t="s">
        <v>1409</v>
      </c>
      <c r="Q351" s="4" t="s">
        <v>4</v>
      </c>
      <c r="R351" s="4" t="s">
        <v>4</v>
      </c>
      <c r="S351" s="4" t="s">
        <v>10</v>
      </c>
      <c r="T351" s="4"/>
      <c r="U351" s="4"/>
      <c r="V351" s="4"/>
      <c r="W351" s="4" t="s">
        <v>27</v>
      </c>
      <c r="X351" s="17">
        <v>3700</v>
      </c>
      <c r="Y351" s="17">
        <v>3700</v>
      </c>
      <c r="Z351" s="4" t="s">
        <v>981</v>
      </c>
      <c r="AA351" s="4" t="s">
        <v>2105</v>
      </c>
      <c r="AB351" s="4" t="s">
        <v>2106</v>
      </c>
      <c r="AC351" s="4" t="s">
        <v>2107</v>
      </c>
      <c r="AD351" s="4" t="s">
        <v>17</v>
      </c>
      <c r="AE351" s="4" t="s">
        <v>17</v>
      </c>
      <c r="AF351" s="4" t="s">
        <v>19</v>
      </c>
      <c r="AG351" s="4" t="s">
        <v>19</v>
      </c>
      <c r="AH351" s="17">
        <v>8007.984</v>
      </c>
    </row>
    <row r="352" spans="2:34" ht="15">
      <c r="B352" s="1" t="s">
        <v>20</v>
      </c>
      <c r="C352" s="2">
        <v>43657</v>
      </c>
      <c r="D352" s="1" t="s">
        <v>21</v>
      </c>
      <c r="E352" s="1" t="s">
        <v>2108</v>
      </c>
      <c r="F352" s="1" t="s">
        <v>3</v>
      </c>
      <c r="G352" s="1" t="s">
        <v>4</v>
      </c>
      <c r="H352" s="1" t="s">
        <v>632</v>
      </c>
      <c r="I352" s="2">
        <v>43656</v>
      </c>
      <c r="J352" s="3">
        <v>0.6688310185185186</v>
      </c>
      <c r="K352" s="2">
        <v>43658</v>
      </c>
      <c r="L352" s="1" t="s">
        <v>6</v>
      </c>
      <c r="M352" s="1"/>
      <c r="N352" s="1" t="s">
        <v>2099</v>
      </c>
      <c r="O352" s="1" t="s">
        <v>111</v>
      </c>
      <c r="P352" s="1" t="s">
        <v>112</v>
      </c>
      <c r="Q352" s="1" t="s">
        <v>4</v>
      </c>
      <c r="R352" s="1" t="s">
        <v>4</v>
      </c>
      <c r="S352" s="1" t="s">
        <v>10</v>
      </c>
      <c r="T352" s="1"/>
      <c r="U352" s="1"/>
      <c r="V352" s="1"/>
      <c r="W352" s="1" t="s">
        <v>11</v>
      </c>
      <c r="X352" s="16">
        <v>10000</v>
      </c>
      <c r="Y352" s="16">
        <v>10000</v>
      </c>
      <c r="Z352" s="1" t="s">
        <v>2109</v>
      </c>
      <c r="AA352" s="1" t="s">
        <v>2110</v>
      </c>
      <c r="AB352" s="1" t="s">
        <v>2111</v>
      </c>
      <c r="AC352" s="1" t="s">
        <v>2112</v>
      </c>
      <c r="AD352" s="1" t="s">
        <v>17</v>
      </c>
      <c r="AE352" s="1" t="s">
        <v>18</v>
      </c>
      <c r="AF352" s="1" t="s">
        <v>19</v>
      </c>
      <c r="AG352" s="1" t="s">
        <v>19</v>
      </c>
      <c r="AH352" s="16">
        <v>28142.6</v>
      </c>
    </row>
    <row r="353" spans="2:34" ht="15">
      <c r="B353" s="4" t="s">
        <v>20</v>
      </c>
      <c r="C353" s="5">
        <v>43657</v>
      </c>
      <c r="D353" s="4" t="s">
        <v>21</v>
      </c>
      <c r="E353" s="4" t="s">
        <v>2113</v>
      </c>
      <c r="F353" s="4" t="s">
        <v>3</v>
      </c>
      <c r="G353" s="4" t="s">
        <v>4</v>
      </c>
      <c r="H353" s="4" t="s">
        <v>126</v>
      </c>
      <c r="I353" s="5">
        <v>43656</v>
      </c>
      <c r="J353" s="6">
        <v>0.6971296296296297</v>
      </c>
      <c r="K353" s="5">
        <v>43658</v>
      </c>
      <c r="L353" s="4" t="s">
        <v>6</v>
      </c>
      <c r="M353" s="4"/>
      <c r="N353" s="4" t="s">
        <v>1175</v>
      </c>
      <c r="O353" s="4" t="s">
        <v>1176</v>
      </c>
      <c r="P353" s="4" t="s">
        <v>1177</v>
      </c>
      <c r="Q353" s="4" t="s">
        <v>4</v>
      </c>
      <c r="R353" s="4" t="s">
        <v>4</v>
      </c>
      <c r="S353" s="4" t="s">
        <v>10</v>
      </c>
      <c r="T353" s="4"/>
      <c r="U353" s="4"/>
      <c r="V353" s="4"/>
      <c r="W353" s="4" t="s">
        <v>11</v>
      </c>
      <c r="X353" s="17">
        <v>5000</v>
      </c>
      <c r="Y353" s="17">
        <v>5000</v>
      </c>
      <c r="Z353" s="4" t="s">
        <v>2083</v>
      </c>
      <c r="AA353" s="4" t="s">
        <v>2114</v>
      </c>
      <c r="AB353" s="4" t="s">
        <v>2115</v>
      </c>
      <c r="AC353" s="4" t="s">
        <v>2116</v>
      </c>
      <c r="AD353" s="4" t="s">
        <v>17</v>
      </c>
      <c r="AE353" s="4" t="s">
        <v>18</v>
      </c>
      <c r="AF353" s="4" t="s">
        <v>19</v>
      </c>
      <c r="AG353" s="4" t="s">
        <v>19</v>
      </c>
      <c r="AH353" s="17">
        <v>13671.6</v>
      </c>
    </row>
    <row r="354" spans="2:34" ht="15">
      <c r="B354" s="1" t="s">
        <v>20</v>
      </c>
      <c r="C354" s="2">
        <v>43658</v>
      </c>
      <c r="D354" s="1" t="s">
        <v>21</v>
      </c>
      <c r="E354" s="1" t="s">
        <v>2117</v>
      </c>
      <c r="F354" s="1" t="s">
        <v>3</v>
      </c>
      <c r="G354" s="1" t="s">
        <v>4</v>
      </c>
      <c r="H354" s="1" t="s">
        <v>1277</v>
      </c>
      <c r="I354" s="2">
        <v>43657</v>
      </c>
      <c r="J354" s="3">
        <v>0.48819444444444443</v>
      </c>
      <c r="K354" s="2">
        <v>43661</v>
      </c>
      <c r="L354" s="1" t="s">
        <v>6</v>
      </c>
      <c r="M354" s="1"/>
      <c r="N354" s="1" t="s">
        <v>2118</v>
      </c>
      <c r="O354" s="1" t="s">
        <v>1408</v>
      </c>
      <c r="P354" s="1" t="s">
        <v>1409</v>
      </c>
      <c r="Q354" s="1" t="s">
        <v>4</v>
      </c>
      <c r="R354" s="1" t="s">
        <v>4</v>
      </c>
      <c r="S354" s="1" t="s">
        <v>10</v>
      </c>
      <c r="T354" s="1"/>
      <c r="U354" s="1"/>
      <c r="V354" s="1"/>
      <c r="W354" s="1" t="s">
        <v>27</v>
      </c>
      <c r="X354" s="16">
        <v>57000</v>
      </c>
      <c r="Y354" s="16">
        <v>57000</v>
      </c>
      <c r="Z354" s="1" t="s">
        <v>981</v>
      </c>
      <c r="AA354" s="1" t="s">
        <v>2120</v>
      </c>
      <c r="AB354" s="1" t="s">
        <v>2121</v>
      </c>
      <c r="AC354" s="1" t="s">
        <v>2122</v>
      </c>
      <c r="AD354" s="1" t="s">
        <v>17</v>
      </c>
      <c r="AE354" s="1" t="s">
        <v>18</v>
      </c>
      <c r="AF354" s="1" t="s">
        <v>19</v>
      </c>
      <c r="AG354" s="1" t="s">
        <v>19</v>
      </c>
      <c r="AH354" s="16">
        <v>123367.24</v>
      </c>
    </row>
    <row r="355" spans="2:34" ht="15">
      <c r="B355" s="4" t="s">
        <v>20</v>
      </c>
      <c r="C355" s="5">
        <v>43658</v>
      </c>
      <c r="D355" s="4" t="s">
        <v>21</v>
      </c>
      <c r="E355" s="4" t="s">
        <v>2123</v>
      </c>
      <c r="F355" s="4" t="s">
        <v>3</v>
      </c>
      <c r="G355" s="4" t="s">
        <v>4</v>
      </c>
      <c r="H355" s="4" t="s">
        <v>119</v>
      </c>
      <c r="I355" s="5">
        <v>43657</v>
      </c>
      <c r="J355" s="6">
        <v>0.692974537037037</v>
      </c>
      <c r="K355" s="5">
        <v>43661</v>
      </c>
      <c r="L355" s="4" t="s">
        <v>6</v>
      </c>
      <c r="M355" s="4"/>
      <c r="N355" s="4" t="s">
        <v>110</v>
      </c>
      <c r="O355" s="4" t="s">
        <v>1661</v>
      </c>
      <c r="P355" s="4" t="s">
        <v>112</v>
      </c>
      <c r="Q355" s="4" t="s">
        <v>4</v>
      </c>
      <c r="R355" s="4" t="s">
        <v>4</v>
      </c>
      <c r="S355" s="4" t="s">
        <v>10</v>
      </c>
      <c r="T355" s="4"/>
      <c r="U355" s="4"/>
      <c r="V355" s="4"/>
      <c r="W355" s="4" t="s">
        <v>11</v>
      </c>
      <c r="X355" s="17">
        <v>200000</v>
      </c>
      <c r="Y355" s="17">
        <v>200000</v>
      </c>
      <c r="Z355" s="4" t="s">
        <v>2109</v>
      </c>
      <c r="AA355" s="4" t="s">
        <v>2124</v>
      </c>
      <c r="AB355" s="4" t="s">
        <v>2125</v>
      </c>
      <c r="AC355" s="4" t="s">
        <v>2126</v>
      </c>
      <c r="AD355" s="4" t="s">
        <v>17</v>
      </c>
      <c r="AE355" s="4" t="s">
        <v>18</v>
      </c>
      <c r="AF355" s="4" t="s">
        <v>19</v>
      </c>
      <c r="AG355" s="4" t="s">
        <v>19</v>
      </c>
      <c r="AH355" s="17">
        <v>562871</v>
      </c>
    </row>
    <row r="356" spans="2:34" ht="15">
      <c r="B356" s="1" t="s">
        <v>20</v>
      </c>
      <c r="C356" s="2">
        <v>43658</v>
      </c>
      <c r="D356" s="1" t="s">
        <v>21</v>
      </c>
      <c r="E356" s="1" t="s">
        <v>2127</v>
      </c>
      <c r="F356" s="1" t="s">
        <v>3</v>
      </c>
      <c r="G356" s="1" t="s">
        <v>4</v>
      </c>
      <c r="H356" s="1" t="s">
        <v>126</v>
      </c>
      <c r="I356" s="2">
        <v>43657</v>
      </c>
      <c r="J356" s="3">
        <v>0.6946412037037037</v>
      </c>
      <c r="K356" s="2">
        <v>43661</v>
      </c>
      <c r="L356" s="1" t="s">
        <v>6</v>
      </c>
      <c r="M356" s="1"/>
      <c r="N356" s="1" t="s">
        <v>1175</v>
      </c>
      <c r="O356" s="1" t="s">
        <v>1176</v>
      </c>
      <c r="P356" s="1" t="s">
        <v>1177</v>
      </c>
      <c r="Q356" s="1" t="s">
        <v>4</v>
      </c>
      <c r="R356" s="1" t="s">
        <v>4</v>
      </c>
      <c r="S356" s="1" t="s">
        <v>10</v>
      </c>
      <c r="T356" s="1"/>
      <c r="U356" s="1"/>
      <c r="V356" s="1"/>
      <c r="W356" s="1" t="s">
        <v>11</v>
      </c>
      <c r="X356" s="16">
        <v>10000</v>
      </c>
      <c r="Y356" s="16">
        <v>10000</v>
      </c>
      <c r="Z356" s="1" t="s">
        <v>2083</v>
      </c>
      <c r="AA356" s="1" t="s">
        <v>2128</v>
      </c>
      <c r="AB356" s="1" t="s">
        <v>2129</v>
      </c>
      <c r="AC356" s="1" t="s">
        <v>2130</v>
      </c>
      <c r="AD356" s="1" t="s">
        <v>17</v>
      </c>
      <c r="AE356" s="1" t="s">
        <v>18</v>
      </c>
      <c r="AF356" s="1" t="s">
        <v>19</v>
      </c>
      <c r="AG356" s="1" t="s">
        <v>19</v>
      </c>
      <c r="AH356" s="16">
        <v>27344.2</v>
      </c>
    </row>
    <row r="357" spans="2:34" ht="15">
      <c r="B357" s="4" t="s">
        <v>0</v>
      </c>
      <c r="C357" s="5">
        <v>43658</v>
      </c>
      <c r="D357" s="4" t="s">
        <v>1</v>
      </c>
      <c r="E357" s="4" t="s">
        <v>913</v>
      </c>
      <c r="F357" s="4" t="s">
        <v>3</v>
      </c>
      <c r="G357" s="4" t="s">
        <v>4</v>
      </c>
      <c r="H357" s="4" t="s">
        <v>1277</v>
      </c>
      <c r="I357" s="5">
        <v>43657</v>
      </c>
      <c r="J357" s="6">
        <v>0.48819444444444443</v>
      </c>
      <c r="K357" s="5">
        <v>43661</v>
      </c>
      <c r="L357" s="4" t="s">
        <v>6</v>
      </c>
      <c r="M357" s="4"/>
      <c r="N357" s="4" t="s">
        <v>1407</v>
      </c>
      <c r="O357" s="4" t="s">
        <v>1408</v>
      </c>
      <c r="P357" s="4" t="s">
        <v>1409</v>
      </c>
      <c r="Q357" s="4" t="s">
        <v>4</v>
      </c>
      <c r="R357" s="4" t="s">
        <v>4</v>
      </c>
      <c r="S357" s="4" t="s">
        <v>10</v>
      </c>
      <c r="T357" s="4"/>
      <c r="U357" s="4"/>
      <c r="V357" s="4"/>
      <c r="W357" s="4" t="s">
        <v>27</v>
      </c>
      <c r="X357" s="17">
        <v>13000</v>
      </c>
      <c r="Y357" s="17">
        <v>13000</v>
      </c>
      <c r="Z357" s="4" t="s">
        <v>981</v>
      </c>
      <c r="AA357" s="4" t="s">
        <v>2132</v>
      </c>
      <c r="AB357" s="4" t="s">
        <v>2133</v>
      </c>
      <c r="AC357" s="4" t="s">
        <v>2134</v>
      </c>
      <c r="AD357" s="4" t="s">
        <v>17</v>
      </c>
      <c r="AE357" s="4" t="s">
        <v>18</v>
      </c>
      <c r="AF357" s="4" t="s">
        <v>19</v>
      </c>
      <c r="AG357" s="4" t="s">
        <v>19</v>
      </c>
      <c r="AH357" s="17">
        <v>28137.16</v>
      </c>
    </row>
    <row r="358" spans="2:34" ht="15">
      <c r="B358" s="4" t="s">
        <v>20</v>
      </c>
      <c r="C358" s="5">
        <v>43662</v>
      </c>
      <c r="D358" s="4" t="s">
        <v>21</v>
      </c>
      <c r="E358" s="4" t="s">
        <v>2135</v>
      </c>
      <c r="F358" s="4" t="s">
        <v>3</v>
      </c>
      <c r="G358" s="4" t="s">
        <v>4</v>
      </c>
      <c r="H358" s="4" t="s">
        <v>325</v>
      </c>
      <c r="I358" s="5">
        <v>43643</v>
      </c>
      <c r="J358" s="6">
        <v>0.6666666666666666</v>
      </c>
      <c r="K358" s="5">
        <v>43662</v>
      </c>
      <c r="L358" s="4" t="s">
        <v>6</v>
      </c>
      <c r="M358" s="4"/>
      <c r="N358" s="4" t="s">
        <v>596</v>
      </c>
      <c r="O358" s="4" t="s">
        <v>597</v>
      </c>
      <c r="P358" s="4" t="s">
        <v>598</v>
      </c>
      <c r="Q358" s="4" t="s">
        <v>4</v>
      </c>
      <c r="R358" s="4" t="s">
        <v>85</v>
      </c>
      <c r="S358" s="4" t="s">
        <v>4</v>
      </c>
      <c r="T358" s="4"/>
      <c r="U358" s="4"/>
      <c r="V358" s="4"/>
      <c r="W358" s="4" t="s">
        <v>27</v>
      </c>
      <c r="X358" s="17">
        <v>2069000</v>
      </c>
      <c r="Y358" s="17">
        <v>2069000</v>
      </c>
      <c r="Z358" s="4" t="s">
        <v>18</v>
      </c>
      <c r="AA358" s="4" t="s">
        <v>1987</v>
      </c>
      <c r="AB358" s="4" t="s">
        <v>1987</v>
      </c>
      <c r="AC358" s="4" t="s">
        <v>17</v>
      </c>
      <c r="AD358" s="4" t="s">
        <v>17</v>
      </c>
      <c r="AE358" s="4" t="s">
        <v>17</v>
      </c>
      <c r="AF358" s="4" t="s">
        <v>19</v>
      </c>
      <c r="AG358" s="4" t="s">
        <v>19</v>
      </c>
      <c r="AH358" s="17">
        <v>2069000</v>
      </c>
    </row>
    <row r="359" spans="2:34" ht="15">
      <c r="B359" s="1" t="s">
        <v>20</v>
      </c>
      <c r="C359" s="2">
        <v>43662</v>
      </c>
      <c r="D359" s="1" t="s">
        <v>21</v>
      </c>
      <c r="E359" s="1" t="s">
        <v>2136</v>
      </c>
      <c r="F359" s="1" t="s">
        <v>3</v>
      </c>
      <c r="G359" s="1" t="s">
        <v>4</v>
      </c>
      <c r="H359" s="1" t="s">
        <v>632</v>
      </c>
      <c r="I359" s="2">
        <v>43661</v>
      </c>
      <c r="J359" s="3">
        <v>0.6913194444444445</v>
      </c>
      <c r="K359" s="2">
        <v>43663</v>
      </c>
      <c r="L359" s="1" t="s">
        <v>6</v>
      </c>
      <c r="M359" s="1"/>
      <c r="N359" s="1" t="s">
        <v>508</v>
      </c>
      <c r="O359" s="1" t="s">
        <v>509</v>
      </c>
      <c r="P359" s="1" t="s">
        <v>510</v>
      </c>
      <c r="Q359" s="1" t="s">
        <v>4</v>
      </c>
      <c r="R359" s="1" t="s">
        <v>4</v>
      </c>
      <c r="S359" s="1" t="s">
        <v>10</v>
      </c>
      <c r="T359" s="1"/>
      <c r="U359" s="1"/>
      <c r="V359" s="1"/>
      <c r="W359" s="1" t="s">
        <v>11</v>
      </c>
      <c r="X359" s="16">
        <v>650000</v>
      </c>
      <c r="Y359" s="16">
        <v>650000</v>
      </c>
      <c r="Z359" s="1" t="s">
        <v>2138</v>
      </c>
      <c r="AA359" s="1" t="s">
        <v>2139</v>
      </c>
      <c r="AB359" s="1" t="s">
        <v>2140</v>
      </c>
      <c r="AC359" s="1" t="s">
        <v>2141</v>
      </c>
      <c r="AD359" s="1" t="s">
        <v>17</v>
      </c>
      <c r="AE359" s="1" t="s">
        <v>18</v>
      </c>
      <c r="AF359" s="1" t="s">
        <v>19</v>
      </c>
      <c r="AG359" s="1" t="s">
        <v>19</v>
      </c>
      <c r="AH359" s="16">
        <v>2108274</v>
      </c>
    </row>
    <row r="360" spans="2:34" ht="15">
      <c r="B360" s="4" t="s">
        <v>20</v>
      </c>
      <c r="C360" s="5">
        <v>43662</v>
      </c>
      <c r="D360" s="4" t="s">
        <v>21</v>
      </c>
      <c r="E360" s="4" t="s">
        <v>2142</v>
      </c>
      <c r="F360" s="4" t="s">
        <v>3</v>
      </c>
      <c r="G360" s="4" t="s">
        <v>4</v>
      </c>
      <c r="H360" s="4" t="s">
        <v>632</v>
      </c>
      <c r="I360" s="5">
        <v>43661</v>
      </c>
      <c r="J360" s="6">
        <v>0.6827199074074074</v>
      </c>
      <c r="K360" s="5">
        <v>43663</v>
      </c>
      <c r="L360" s="4" t="s">
        <v>6</v>
      </c>
      <c r="M360" s="4"/>
      <c r="N360" s="4" t="s">
        <v>876</v>
      </c>
      <c r="O360" s="4" t="s">
        <v>877</v>
      </c>
      <c r="P360" s="4" t="s">
        <v>878</v>
      </c>
      <c r="Q360" s="4" t="s">
        <v>4</v>
      </c>
      <c r="R360" s="4" t="s">
        <v>4</v>
      </c>
      <c r="S360" s="4" t="s">
        <v>10</v>
      </c>
      <c r="T360" s="4"/>
      <c r="U360" s="4"/>
      <c r="V360" s="4"/>
      <c r="W360" s="4" t="s">
        <v>11</v>
      </c>
      <c r="X360" s="17">
        <v>75000</v>
      </c>
      <c r="Y360" s="17">
        <v>75000</v>
      </c>
      <c r="Z360" s="4" t="s">
        <v>2144</v>
      </c>
      <c r="AA360" s="4" t="s">
        <v>2145</v>
      </c>
      <c r="AB360" s="4" t="s">
        <v>2146</v>
      </c>
      <c r="AC360" s="4" t="s">
        <v>2147</v>
      </c>
      <c r="AD360" s="4" t="s">
        <v>17</v>
      </c>
      <c r="AE360" s="4" t="s">
        <v>18</v>
      </c>
      <c r="AF360" s="4" t="s">
        <v>19</v>
      </c>
      <c r="AG360" s="4" t="s">
        <v>19</v>
      </c>
      <c r="AH360" s="17">
        <v>119759</v>
      </c>
    </row>
    <row r="361" spans="2:34" ht="15">
      <c r="B361" s="1" t="s">
        <v>20</v>
      </c>
      <c r="C361" s="2">
        <v>43662</v>
      </c>
      <c r="D361" s="1" t="s">
        <v>21</v>
      </c>
      <c r="E361" s="1" t="s">
        <v>2148</v>
      </c>
      <c r="F361" s="1" t="s">
        <v>3</v>
      </c>
      <c r="G361" s="1" t="s">
        <v>4</v>
      </c>
      <c r="H361" s="1" t="s">
        <v>632</v>
      </c>
      <c r="I361" s="2">
        <v>43661</v>
      </c>
      <c r="J361" s="3">
        <v>0.5815509259259259</v>
      </c>
      <c r="K361" s="2">
        <v>43663</v>
      </c>
      <c r="L361" s="1" t="s">
        <v>6</v>
      </c>
      <c r="M361" s="1"/>
      <c r="N361" s="1" t="s">
        <v>2149</v>
      </c>
      <c r="O361" s="1" t="s">
        <v>1176</v>
      </c>
      <c r="P361" s="1" t="s">
        <v>1177</v>
      </c>
      <c r="Q361" s="1" t="s">
        <v>4</v>
      </c>
      <c r="R361" s="1" t="s">
        <v>4</v>
      </c>
      <c r="S361" s="1" t="s">
        <v>10</v>
      </c>
      <c r="T361" s="1"/>
      <c r="U361" s="1"/>
      <c r="V361" s="1"/>
      <c r="W361" s="1" t="s">
        <v>11</v>
      </c>
      <c r="X361" s="16">
        <v>50000</v>
      </c>
      <c r="Y361" s="16">
        <v>50000</v>
      </c>
      <c r="Z361" s="1" t="s">
        <v>2150</v>
      </c>
      <c r="AA361" s="1" t="s">
        <v>2151</v>
      </c>
      <c r="AB361" s="1" t="s">
        <v>2152</v>
      </c>
      <c r="AC361" s="1" t="s">
        <v>2153</v>
      </c>
      <c r="AD361" s="1" t="s">
        <v>17</v>
      </c>
      <c r="AE361" s="1" t="s">
        <v>18</v>
      </c>
      <c r="AF361" s="1" t="s">
        <v>19</v>
      </c>
      <c r="AG361" s="1" t="s">
        <v>19</v>
      </c>
      <c r="AH361" s="16">
        <v>135976.5</v>
      </c>
    </row>
    <row r="362" spans="2:34" ht="15">
      <c r="B362" s="1" t="s">
        <v>153</v>
      </c>
      <c r="C362" s="2">
        <v>43662</v>
      </c>
      <c r="D362" s="1" t="s">
        <v>154</v>
      </c>
      <c r="E362" s="1" t="s">
        <v>2154</v>
      </c>
      <c r="F362" s="1" t="s">
        <v>3</v>
      </c>
      <c r="G362" s="1" t="s">
        <v>4</v>
      </c>
      <c r="H362" s="1" t="s">
        <v>325</v>
      </c>
      <c r="I362" s="2">
        <v>43643</v>
      </c>
      <c r="J362" s="3">
        <v>0.6666666666666666</v>
      </c>
      <c r="K362" s="2">
        <v>43662</v>
      </c>
      <c r="L362" s="1" t="s">
        <v>6</v>
      </c>
      <c r="M362" s="1"/>
      <c r="N362" s="1" t="s">
        <v>596</v>
      </c>
      <c r="O362" s="1" t="s">
        <v>597</v>
      </c>
      <c r="P362" s="1" t="s">
        <v>598</v>
      </c>
      <c r="Q362" s="1" t="s">
        <v>4</v>
      </c>
      <c r="R362" s="1" t="s">
        <v>85</v>
      </c>
      <c r="S362" s="1" t="s">
        <v>4</v>
      </c>
      <c r="T362" s="1"/>
      <c r="U362" s="1"/>
      <c r="V362" s="1"/>
      <c r="W362" s="1" t="s">
        <v>27</v>
      </c>
      <c r="X362" s="16">
        <v>53200</v>
      </c>
      <c r="Y362" s="16">
        <v>53200</v>
      </c>
      <c r="Z362" s="1" t="s">
        <v>18</v>
      </c>
      <c r="AA362" s="1" t="s">
        <v>1989</v>
      </c>
      <c r="AB362" s="1" t="s">
        <v>1989</v>
      </c>
      <c r="AC362" s="1" t="s">
        <v>17</v>
      </c>
      <c r="AD362" s="1" t="s">
        <v>17</v>
      </c>
      <c r="AE362" s="1" t="s">
        <v>17</v>
      </c>
      <c r="AF362" s="1" t="s">
        <v>19</v>
      </c>
      <c r="AG362" s="1" t="s">
        <v>19</v>
      </c>
      <c r="AH362" s="16">
        <v>53200</v>
      </c>
    </row>
    <row r="363" spans="2:34" ht="15">
      <c r="B363" s="4" t="s">
        <v>20</v>
      </c>
      <c r="C363" s="5">
        <v>43663</v>
      </c>
      <c r="D363" s="4" t="s">
        <v>21</v>
      </c>
      <c r="E363" s="4" t="s">
        <v>2155</v>
      </c>
      <c r="F363" s="4" t="s">
        <v>3</v>
      </c>
      <c r="G363" s="4" t="s">
        <v>4</v>
      </c>
      <c r="H363" s="4" t="s">
        <v>119</v>
      </c>
      <c r="I363" s="5">
        <v>43662</v>
      </c>
      <c r="J363" s="6">
        <v>0.598738425925926</v>
      </c>
      <c r="K363" s="5">
        <v>43664</v>
      </c>
      <c r="L363" s="4" t="s">
        <v>6</v>
      </c>
      <c r="M363" s="4"/>
      <c r="N363" s="4" t="s">
        <v>288</v>
      </c>
      <c r="O363" s="4" t="s">
        <v>289</v>
      </c>
      <c r="P363" s="4" t="s">
        <v>290</v>
      </c>
      <c r="Q363" s="4" t="s">
        <v>4</v>
      </c>
      <c r="R363" s="4" t="s">
        <v>4</v>
      </c>
      <c r="S363" s="4" t="s">
        <v>10</v>
      </c>
      <c r="T363" s="4"/>
      <c r="U363" s="4"/>
      <c r="V363" s="4"/>
      <c r="W363" s="4" t="s">
        <v>11</v>
      </c>
      <c r="X363" s="17">
        <v>900000</v>
      </c>
      <c r="Y363" s="17">
        <v>900000</v>
      </c>
      <c r="Z363" s="4" t="s">
        <v>2156</v>
      </c>
      <c r="AA363" s="4" t="s">
        <v>2157</v>
      </c>
      <c r="AB363" s="4" t="s">
        <v>2158</v>
      </c>
      <c r="AC363" s="4" t="s">
        <v>2159</v>
      </c>
      <c r="AD363" s="4" t="s">
        <v>17</v>
      </c>
      <c r="AE363" s="4" t="s">
        <v>18</v>
      </c>
      <c r="AF363" s="4" t="s">
        <v>19</v>
      </c>
      <c r="AG363" s="4" t="s">
        <v>19</v>
      </c>
      <c r="AH363" s="17">
        <v>2452085</v>
      </c>
    </row>
    <row r="364" spans="2:34" ht="15">
      <c r="B364" s="1" t="s">
        <v>20</v>
      </c>
      <c r="C364" s="2">
        <v>43663</v>
      </c>
      <c r="D364" s="1" t="s">
        <v>21</v>
      </c>
      <c r="E364" s="1" t="s">
        <v>2160</v>
      </c>
      <c r="F364" s="1" t="s">
        <v>3</v>
      </c>
      <c r="G364" s="1" t="s">
        <v>4</v>
      </c>
      <c r="H364" s="1" t="s">
        <v>119</v>
      </c>
      <c r="I364" s="2">
        <v>43662</v>
      </c>
      <c r="J364" s="3">
        <v>0.6036921296296296</v>
      </c>
      <c r="K364" s="2">
        <v>43664</v>
      </c>
      <c r="L364" s="1" t="s">
        <v>6</v>
      </c>
      <c r="M364" s="1"/>
      <c r="N364" s="1" t="s">
        <v>110</v>
      </c>
      <c r="O364" s="1" t="s">
        <v>111</v>
      </c>
      <c r="P364" s="1" t="s">
        <v>112</v>
      </c>
      <c r="Q364" s="1" t="s">
        <v>4</v>
      </c>
      <c r="R364" s="1" t="s">
        <v>4</v>
      </c>
      <c r="S364" s="1" t="s">
        <v>10</v>
      </c>
      <c r="T364" s="1"/>
      <c r="U364" s="1"/>
      <c r="V364" s="1"/>
      <c r="W364" s="1" t="s">
        <v>11</v>
      </c>
      <c r="X364" s="16">
        <v>58000</v>
      </c>
      <c r="Y364" s="16">
        <v>58000</v>
      </c>
      <c r="Z364" s="1" t="s">
        <v>781</v>
      </c>
      <c r="AA364" s="1" t="s">
        <v>2161</v>
      </c>
      <c r="AB364" s="1" t="s">
        <v>2162</v>
      </c>
      <c r="AC364" s="1" t="s">
        <v>2163</v>
      </c>
      <c r="AD364" s="1" t="s">
        <v>17</v>
      </c>
      <c r="AE364" s="1" t="s">
        <v>18</v>
      </c>
      <c r="AF364" s="1" t="s">
        <v>19</v>
      </c>
      <c r="AG364" s="1" t="s">
        <v>19</v>
      </c>
      <c r="AH364" s="16">
        <v>167862.6</v>
      </c>
    </row>
    <row r="365" spans="2:34" ht="15">
      <c r="B365" s="4" t="s">
        <v>20</v>
      </c>
      <c r="C365" s="5">
        <v>43663</v>
      </c>
      <c r="D365" s="4" t="s">
        <v>21</v>
      </c>
      <c r="E365" s="4" t="s">
        <v>2164</v>
      </c>
      <c r="F365" s="4" t="s">
        <v>3</v>
      </c>
      <c r="G365" s="4" t="s">
        <v>4</v>
      </c>
      <c r="H365" s="4" t="s">
        <v>325</v>
      </c>
      <c r="I365" s="5">
        <v>43662</v>
      </c>
      <c r="J365" s="6">
        <v>0.6118055555555556</v>
      </c>
      <c r="K365" s="5">
        <v>43664</v>
      </c>
      <c r="L365" s="4" t="s">
        <v>6</v>
      </c>
      <c r="M365" s="4"/>
      <c r="N365" s="4" t="s">
        <v>2165</v>
      </c>
      <c r="O365" s="4" t="s">
        <v>2166</v>
      </c>
      <c r="P365" s="4" t="s">
        <v>2167</v>
      </c>
      <c r="Q365" s="4" t="s">
        <v>4</v>
      </c>
      <c r="R365" s="4" t="s">
        <v>4</v>
      </c>
      <c r="S365" s="4" t="s">
        <v>10</v>
      </c>
      <c r="T365" s="4"/>
      <c r="U365" s="4"/>
      <c r="V365" s="4"/>
      <c r="W365" s="4" t="s">
        <v>11</v>
      </c>
      <c r="X365" s="17">
        <v>50000</v>
      </c>
      <c r="Y365" s="17">
        <v>50000</v>
      </c>
      <c r="Z365" s="4" t="s">
        <v>2168</v>
      </c>
      <c r="AA365" s="4" t="s">
        <v>2169</v>
      </c>
      <c r="AB365" s="4" t="s">
        <v>2170</v>
      </c>
      <c r="AC365" s="4" t="s">
        <v>2171</v>
      </c>
      <c r="AD365" s="4" t="s">
        <v>17</v>
      </c>
      <c r="AE365" s="4" t="s">
        <v>18</v>
      </c>
      <c r="AF365" s="4" t="s">
        <v>19</v>
      </c>
      <c r="AG365" s="4" t="s">
        <v>19</v>
      </c>
      <c r="AH365" s="17">
        <v>58881</v>
      </c>
    </row>
    <row r="366" spans="2:34" ht="15">
      <c r="B366" s="1" t="s">
        <v>20</v>
      </c>
      <c r="C366" s="2">
        <v>43663</v>
      </c>
      <c r="D366" s="1" t="s">
        <v>21</v>
      </c>
      <c r="E366" s="1" t="s">
        <v>2172</v>
      </c>
      <c r="F366" s="1" t="s">
        <v>3</v>
      </c>
      <c r="G366" s="1" t="s">
        <v>4</v>
      </c>
      <c r="H366" s="1" t="s">
        <v>325</v>
      </c>
      <c r="I366" s="2">
        <v>43662</v>
      </c>
      <c r="J366" s="3">
        <v>0.6833333333333333</v>
      </c>
      <c r="K366" s="2">
        <v>43664</v>
      </c>
      <c r="L366" s="1" t="s">
        <v>6</v>
      </c>
      <c r="M366" s="1"/>
      <c r="N366" s="1" t="s">
        <v>2165</v>
      </c>
      <c r="O366" s="1" t="s">
        <v>2166</v>
      </c>
      <c r="P366" s="1" t="s">
        <v>2167</v>
      </c>
      <c r="Q366" s="1" t="s">
        <v>4</v>
      </c>
      <c r="R366" s="1" t="s">
        <v>4</v>
      </c>
      <c r="S366" s="1" t="s">
        <v>10</v>
      </c>
      <c r="T366" s="1"/>
      <c r="U366" s="1"/>
      <c r="V366" s="1"/>
      <c r="W366" s="1" t="s">
        <v>11</v>
      </c>
      <c r="X366" s="16">
        <v>370000</v>
      </c>
      <c r="Y366" s="16">
        <v>370000</v>
      </c>
      <c r="Z366" s="1" t="s">
        <v>2168</v>
      </c>
      <c r="AA366" s="1" t="s">
        <v>2174</v>
      </c>
      <c r="AB366" s="1" t="s">
        <v>2175</v>
      </c>
      <c r="AC366" s="1" t="s">
        <v>2176</v>
      </c>
      <c r="AD366" s="1" t="s">
        <v>17</v>
      </c>
      <c r="AE366" s="1" t="s">
        <v>18</v>
      </c>
      <c r="AF366" s="1" t="s">
        <v>19</v>
      </c>
      <c r="AG366" s="1" t="s">
        <v>19</v>
      </c>
      <c r="AH366" s="16">
        <v>435725.8</v>
      </c>
    </row>
    <row r="367" spans="2:34" ht="15">
      <c r="B367" s="4" t="s">
        <v>20</v>
      </c>
      <c r="C367" s="5">
        <v>43663</v>
      </c>
      <c r="D367" s="4" t="s">
        <v>21</v>
      </c>
      <c r="E367" s="4" t="s">
        <v>2177</v>
      </c>
      <c r="F367" s="4" t="s">
        <v>3</v>
      </c>
      <c r="G367" s="4" t="s">
        <v>4</v>
      </c>
      <c r="H367" s="4" t="s">
        <v>126</v>
      </c>
      <c r="I367" s="5">
        <v>43662</v>
      </c>
      <c r="J367" s="6">
        <v>0.6909722222222222</v>
      </c>
      <c r="K367" s="5">
        <v>43664</v>
      </c>
      <c r="L367" s="4" t="s">
        <v>6</v>
      </c>
      <c r="M367" s="4"/>
      <c r="N367" s="4" t="s">
        <v>2149</v>
      </c>
      <c r="O367" s="4" t="s">
        <v>1176</v>
      </c>
      <c r="P367" s="4" t="s">
        <v>1177</v>
      </c>
      <c r="Q367" s="4" t="s">
        <v>4</v>
      </c>
      <c r="R367" s="4" t="s">
        <v>4</v>
      </c>
      <c r="S367" s="4" t="s">
        <v>10</v>
      </c>
      <c r="T367" s="4"/>
      <c r="U367" s="4"/>
      <c r="V367" s="4"/>
      <c r="W367" s="4" t="s">
        <v>11</v>
      </c>
      <c r="X367" s="17">
        <v>10000</v>
      </c>
      <c r="Y367" s="17">
        <v>10000</v>
      </c>
      <c r="Z367" s="4" t="s">
        <v>2083</v>
      </c>
      <c r="AA367" s="4" t="s">
        <v>2128</v>
      </c>
      <c r="AB367" s="4" t="s">
        <v>2129</v>
      </c>
      <c r="AC367" s="4" t="s">
        <v>2130</v>
      </c>
      <c r="AD367" s="4" t="s">
        <v>17</v>
      </c>
      <c r="AE367" s="4" t="s">
        <v>18</v>
      </c>
      <c r="AF367" s="4" t="s">
        <v>19</v>
      </c>
      <c r="AG367" s="4" t="s">
        <v>19</v>
      </c>
      <c r="AH367" s="17">
        <v>27344.2</v>
      </c>
    </row>
    <row r="368" spans="2:34" ht="15">
      <c r="B368" s="1" t="s">
        <v>20</v>
      </c>
      <c r="C368" s="2">
        <v>43663</v>
      </c>
      <c r="D368" s="1" t="s">
        <v>21</v>
      </c>
      <c r="E368" s="1" t="s">
        <v>2178</v>
      </c>
      <c r="F368" s="1" t="s">
        <v>3</v>
      </c>
      <c r="G368" s="1" t="s">
        <v>4</v>
      </c>
      <c r="H368" s="1" t="s">
        <v>126</v>
      </c>
      <c r="I368" s="2">
        <v>43662</v>
      </c>
      <c r="J368" s="3">
        <v>0.6954166666666667</v>
      </c>
      <c r="K368" s="2">
        <v>43664</v>
      </c>
      <c r="L368" s="1" t="s">
        <v>6</v>
      </c>
      <c r="M368" s="1"/>
      <c r="N368" s="1" t="s">
        <v>2149</v>
      </c>
      <c r="O368" s="1" t="s">
        <v>1176</v>
      </c>
      <c r="P368" s="1" t="s">
        <v>1177</v>
      </c>
      <c r="Q368" s="1" t="s">
        <v>4</v>
      </c>
      <c r="R368" s="1" t="s">
        <v>4</v>
      </c>
      <c r="S368" s="1" t="s">
        <v>10</v>
      </c>
      <c r="T368" s="1"/>
      <c r="U368" s="1"/>
      <c r="V368" s="1"/>
      <c r="W368" s="1" t="s">
        <v>11</v>
      </c>
      <c r="X368" s="16">
        <v>5000</v>
      </c>
      <c r="Y368" s="16">
        <v>5000</v>
      </c>
      <c r="Z368" s="1" t="s">
        <v>2083</v>
      </c>
      <c r="AA368" s="1" t="s">
        <v>2114</v>
      </c>
      <c r="AB368" s="1" t="s">
        <v>2115</v>
      </c>
      <c r="AC368" s="1" t="s">
        <v>2116</v>
      </c>
      <c r="AD368" s="1" t="s">
        <v>17</v>
      </c>
      <c r="AE368" s="1" t="s">
        <v>18</v>
      </c>
      <c r="AF368" s="1" t="s">
        <v>19</v>
      </c>
      <c r="AG368" s="1" t="s">
        <v>19</v>
      </c>
      <c r="AH368" s="16">
        <v>13671.6</v>
      </c>
    </row>
    <row r="369" spans="2:34" ht="15">
      <c r="B369" s="4" t="s">
        <v>20</v>
      </c>
      <c r="C369" s="5">
        <v>43668</v>
      </c>
      <c r="D369" s="4" t="s">
        <v>21</v>
      </c>
      <c r="E369" s="4" t="s">
        <v>2179</v>
      </c>
      <c r="F369" s="4" t="s">
        <v>3</v>
      </c>
      <c r="G369" s="4" t="s">
        <v>4</v>
      </c>
      <c r="H369" s="4" t="s">
        <v>1174</v>
      </c>
      <c r="I369" s="5">
        <v>43665</v>
      </c>
      <c r="J369" s="6">
        <v>0.5458333333333333</v>
      </c>
      <c r="K369" s="5">
        <v>43669</v>
      </c>
      <c r="L369" s="4" t="s">
        <v>6</v>
      </c>
      <c r="M369" s="4"/>
      <c r="N369" s="4" t="s">
        <v>2149</v>
      </c>
      <c r="O369" s="4" t="s">
        <v>1176</v>
      </c>
      <c r="P369" s="4" t="s">
        <v>1177</v>
      </c>
      <c r="Q369" s="4" t="s">
        <v>4</v>
      </c>
      <c r="R369" s="4" t="s">
        <v>4</v>
      </c>
      <c r="S369" s="4" t="s">
        <v>10</v>
      </c>
      <c r="T369" s="4"/>
      <c r="U369" s="4"/>
      <c r="V369" s="4"/>
      <c r="W369" s="4" t="s">
        <v>11</v>
      </c>
      <c r="X369" s="17">
        <v>639761</v>
      </c>
      <c r="Y369" s="17">
        <v>639761</v>
      </c>
      <c r="Z369" s="4" t="s">
        <v>1992</v>
      </c>
      <c r="AA369" s="4" t="s">
        <v>2181</v>
      </c>
      <c r="AB369" s="4" t="s">
        <v>2182</v>
      </c>
      <c r="AC369" s="4" t="s">
        <v>2183</v>
      </c>
      <c r="AD369" s="4" t="s">
        <v>17</v>
      </c>
      <c r="AE369" s="4" t="s">
        <v>18</v>
      </c>
      <c r="AF369" s="4" t="s">
        <v>19</v>
      </c>
      <c r="AG369" s="4" t="s">
        <v>19</v>
      </c>
      <c r="AH369" s="17">
        <v>1736668.62</v>
      </c>
    </row>
    <row r="370" spans="2:34" ht="15">
      <c r="B370" s="1" t="s">
        <v>20</v>
      </c>
      <c r="C370" s="2">
        <v>43668</v>
      </c>
      <c r="D370" s="1" t="s">
        <v>21</v>
      </c>
      <c r="E370" s="1" t="s">
        <v>2184</v>
      </c>
      <c r="F370" s="1" t="s">
        <v>3</v>
      </c>
      <c r="G370" s="1" t="s">
        <v>4</v>
      </c>
      <c r="H370" s="1" t="s">
        <v>632</v>
      </c>
      <c r="I370" s="2">
        <v>43665</v>
      </c>
      <c r="J370" s="3">
        <v>0.45902777777777776</v>
      </c>
      <c r="K370" s="2">
        <v>43669</v>
      </c>
      <c r="L370" s="1" t="s">
        <v>6</v>
      </c>
      <c r="M370" s="1"/>
      <c r="N370" s="1" t="s">
        <v>2149</v>
      </c>
      <c r="O370" s="1" t="s">
        <v>1176</v>
      </c>
      <c r="P370" s="1" t="s">
        <v>1177</v>
      </c>
      <c r="Q370" s="1" t="s">
        <v>4</v>
      </c>
      <c r="R370" s="1" t="s">
        <v>4</v>
      </c>
      <c r="S370" s="1" t="s">
        <v>10</v>
      </c>
      <c r="T370" s="1"/>
      <c r="U370" s="1"/>
      <c r="V370" s="1"/>
      <c r="W370" s="1" t="s">
        <v>11</v>
      </c>
      <c r="X370" s="16">
        <v>40000</v>
      </c>
      <c r="Y370" s="16">
        <v>40000</v>
      </c>
      <c r="Z370" s="1" t="s">
        <v>2185</v>
      </c>
      <c r="AA370" s="1" t="s">
        <v>2186</v>
      </c>
      <c r="AB370" s="1" t="s">
        <v>2187</v>
      </c>
      <c r="AC370" s="1" t="s">
        <v>2188</v>
      </c>
      <c r="AD370" s="1" t="s">
        <v>17</v>
      </c>
      <c r="AE370" s="1" t="s">
        <v>18</v>
      </c>
      <c r="AF370" s="1" t="s">
        <v>19</v>
      </c>
      <c r="AG370" s="1" t="s">
        <v>19</v>
      </c>
      <c r="AH370" s="16">
        <v>108481.6</v>
      </c>
    </row>
    <row r="371" spans="2:34" ht="15">
      <c r="B371" s="4" t="s">
        <v>153</v>
      </c>
      <c r="C371" s="5">
        <v>43668</v>
      </c>
      <c r="D371" s="4" t="s">
        <v>154</v>
      </c>
      <c r="E371" s="4" t="s">
        <v>2189</v>
      </c>
      <c r="F371" s="4" t="s">
        <v>3</v>
      </c>
      <c r="G371" s="4" t="s">
        <v>4</v>
      </c>
      <c r="H371" s="4" t="s">
        <v>632</v>
      </c>
      <c r="I371" s="5">
        <v>43668</v>
      </c>
      <c r="J371" s="6">
        <v>0.4171990740740741</v>
      </c>
      <c r="K371" s="5">
        <v>43670</v>
      </c>
      <c r="L371" s="4" t="s">
        <v>6</v>
      </c>
      <c r="M371" s="4"/>
      <c r="N371" s="4" t="s">
        <v>876</v>
      </c>
      <c r="O371" s="4" t="s">
        <v>877</v>
      </c>
      <c r="P371" s="4" t="s">
        <v>878</v>
      </c>
      <c r="Q371" s="4" t="s">
        <v>4</v>
      </c>
      <c r="R371" s="4" t="s">
        <v>4</v>
      </c>
      <c r="S371" s="4" t="s">
        <v>10</v>
      </c>
      <c r="T371" s="4"/>
      <c r="U371" s="4"/>
      <c r="V371" s="4"/>
      <c r="W371" s="4" t="s">
        <v>27</v>
      </c>
      <c r="X371" s="17">
        <v>33300</v>
      </c>
      <c r="Y371" s="17">
        <v>33300</v>
      </c>
      <c r="Z371" s="4" t="s">
        <v>2191</v>
      </c>
      <c r="AA371" s="4" t="s">
        <v>2192</v>
      </c>
      <c r="AB371" s="4" t="s">
        <v>2193</v>
      </c>
      <c r="AC371" s="4" t="s">
        <v>2194</v>
      </c>
      <c r="AD371" s="4" t="s">
        <v>17</v>
      </c>
      <c r="AE371" s="4" t="s">
        <v>2195</v>
      </c>
      <c r="AF371" s="4" t="s">
        <v>19</v>
      </c>
      <c r="AG371" s="4" t="s">
        <v>19</v>
      </c>
      <c r="AH371" s="17">
        <v>53486.827</v>
      </c>
    </row>
    <row r="372" spans="2:34" ht="15">
      <c r="B372" s="1" t="s">
        <v>153</v>
      </c>
      <c r="C372" s="2">
        <v>43668</v>
      </c>
      <c r="D372" s="1" t="s">
        <v>154</v>
      </c>
      <c r="E372" s="1" t="s">
        <v>2196</v>
      </c>
      <c r="F372" s="1" t="s">
        <v>3</v>
      </c>
      <c r="G372" s="1" t="s">
        <v>4</v>
      </c>
      <c r="H372" s="1" t="s">
        <v>632</v>
      </c>
      <c r="I372" s="2">
        <v>43668</v>
      </c>
      <c r="J372" s="3">
        <v>0.4170949074074074</v>
      </c>
      <c r="K372" s="2">
        <v>43670</v>
      </c>
      <c r="L372" s="1" t="s">
        <v>6</v>
      </c>
      <c r="M372" s="1"/>
      <c r="N372" s="1" t="s">
        <v>382</v>
      </c>
      <c r="O372" s="1" t="s">
        <v>383</v>
      </c>
      <c r="P372" s="1" t="s">
        <v>2197</v>
      </c>
      <c r="Q372" s="1" t="s">
        <v>4</v>
      </c>
      <c r="R372" s="1" t="s">
        <v>4</v>
      </c>
      <c r="S372" s="1" t="s">
        <v>10</v>
      </c>
      <c r="T372" s="1"/>
      <c r="U372" s="1"/>
      <c r="V372" s="1"/>
      <c r="W372" s="1" t="s">
        <v>27</v>
      </c>
      <c r="X372" s="16">
        <v>2200</v>
      </c>
      <c r="Y372" s="16">
        <v>2200</v>
      </c>
      <c r="Z372" s="1" t="s">
        <v>2199</v>
      </c>
      <c r="AA372" s="1" t="s">
        <v>2200</v>
      </c>
      <c r="AB372" s="1" t="s">
        <v>2201</v>
      </c>
      <c r="AC372" s="1" t="s">
        <v>2202</v>
      </c>
      <c r="AD372" s="1" t="s">
        <v>17</v>
      </c>
      <c r="AE372" s="1" t="s">
        <v>2203</v>
      </c>
      <c r="AF372" s="1" t="s">
        <v>19</v>
      </c>
      <c r="AG372" s="1" t="s">
        <v>19</v>
      </c>
      <c r="AH372" s="16">
        <v>23816.79</v>
      </c>
    </row>
    <row r="373" spans="2:34" ht="15">
      <c r="B373" s="4" t="s">
        <v>153</v>
      </c>
      <c r="C373" s="5">
        <v>43668</v>
      </c>
      <c r="D373" s="4" t="s">
        <v>154</v>
      </c>
      <c r="E373" s="4" t="s">
        <v>2204</v>
      </c>
      <c r="F373" s="4" t="s">
        <v>3</v>
      </c>
      <c r="G373" s="4" t="s">
        <v>4</v>
      </c>
      <c r="H373" s="4" t="s">
        <v>632</v>
      </c>
      <c r="I373" s="5">
        <v>43668</v>
      </c>
      <c r="J373" s="6">
        <v>0.41756944444444444</v>
      </c>
      <c r="K373" s="5">
        <v>43670</v>
      </c>
      <c r="L373" s="4" t="s">
        <v>6</v>
      </c>
      <c r="M373" s="4"/>
      <c r="N373" s="4" t="s">
        <v>165</v>
      </c>
      <c r="O373" s="4" t="s">
        <v>166</v>
      </c>
      <c r="P373" s="4" t="s">
        <v>167</v>
      </c>
      <c r="Q373" s="4" t="s">
        <v>4</v>
      </c>
      <c r="R373" s="4" t="s">
        <v>4</v>
      </c>
      <c r="S373" s="4" t="s">
        <v>10</v>
      </c>
      <c r="T373" s="4"/>
      <c r="U373" s="4"/>
      <c r="V373" s="4"/>
      <c r="W373" s="4" t="s">
        <v>27</v>
      </c>
      <c r="X373" s="17">
        <v>18500</v>
      </c>
      <c r="Y373" s="17">
        <v>18500</v>
      </c>
      <c r="Z373" s="4" t="s">
        <v>2205</v>
      </c>
      <c r="AA373" s="4" t="s">
        <v>2206</v>
      </c>
      <c r="AB373" s="4" t="s">
        <v>2207</v>
      </c>
      <c r="AC373" s="4" t="s">
        <v>2208</v>
      </c>
      <c r="AD373" s="4" t="s">
        <v>17</v>
      </c>
      <c r="AE373" s="4" t="s">
        <v>18</v>
      </c>
      <c r="AF373" s="4" t="s">
        <v>19</v>
      </c>
      <c r="AG373" s="4" t="s">
        <v>19</v>
      </c>
      <c r="AH373" s="17">
        <v>34850.56</v>
      </c>
    </row>
    <row r="374" spans="2:34" ht="15">
      <c r="B374" s="1" t="s">
        <v>20</v>
      </c>
      <c r="C374" s="2">
        <v>43669</v>
      </c>
      <c r="D374" s="1" t="s">
        <v>21</v>
      </c>
      <c r="E374" s="1" t="s">
        <v>2209</v>
      </c>
      <c r="F374" s="1" t="s">
        <v>3</v>
      </c>
      <c r="G374" s="1" t="s">
        <v>4</v>
      </c>
      <c r="H374" s="1" t="s">
        <v>632</v>
      </c>
      <c r="I374" s="2">
        <v>43668</v>
      </c>
      <c r="J374" s="3">
        <v>0.6936689814814815</v>
      </c>
      <c r="K374" s="2">
        <v>43670</v>
      </c>
      <c r="L374" s="1" t="s">
        <v>6</v>
      </c>
      <c r="M374" s="1"/>
      <c r="N374" s="1" t="s">
        <v>316</v>
      </c>
      <c r="O374" s="1" t="s">
        <v>317</v>
      </c>
      <c r="P374" s="1" t="s">
        <v>318</v>
      </c>
      <c r="Q374" s="1" t="s">
        <v>4</v>
      </c>
      <c r="R374" s="1" t="s">
        <v>4</v>
      </c>
      <c r="S374" s="1" t="s">
        <v>10</v>
      </c>
      <c r="T374" s="1"/>
      <c r="U374" s="1"/>
      <c r="V374" s="1"/>
      <c r="W374" s="1" t="s">
        <v>27</v>
      </c>
      <c r="X374" s="16">
        <v>480000</v>
      </c>
      <c r="Y374" s="16">
        <v>480000</v>
      </c>
      <c r="Z374" s="1" t="s">
        <v>2211</v>
      </c>
      <c r="AA374" s="1" t="s">
        <v>2212</v>
      </c>
      <c r="AB374" s="1" t="s">
        <v>2213</v>
      </c>
      <c r="AC374" s="1" t="s">
        <v>2214</v>
      </c>
      <c r="AD374" s="1" t="s">
        <v>17</v>
      </c>
      <c r="AE374" s="1" t="s">
        <v>2215</v>
      </c>
      <c r="AF374" s="1" t="s">
        <v>19</v>
      </c>
      <c r="AG374" s="1" t="s">
        <v>19</v>
      </c>
      <c r="AH374" s="16">
        <v>530695.286</v>
      </c>
    </row>
    <row r="375" spans="2:34" ht="15">
      <c r="B375" s="4" t="s">
        <v>0</v>
      </c>
      <c r="C375" s="5">
        <v>43669</v>
      </c>
      <c r="D375" s="4" t="s">
        <v>1</v>
      </c>
      <c r="E375" s="4" t="s">
        <v>949</v>
      </c>
      <c r="F375" s="4" t="s">
        <v>3</v>
      </c>
      <c r="G375" s="4" t="s">
        <v>4</v>
      </c>
      <c r="H375" s="4" t="s">
        <v>632</v>
      </c>
      <c r="I375" s="5">
        <v>43668</v>
      </c>
      <c r="J375" s="6">
        <v>0.6936689814814815</v>
      </c>
      <c r="K375" s="5">
        <v>43670</v>
      </c>
      <c r="L375" s="4" t="s">
        <v>6</v>
      </c>
      <c r="M375" s="4"/>
      <c r="N375" s="4" t="s">
        <v>316</v>
      </c>
      <c r="O375" s="4" t="s">
        <v>317</v>
      </c>
      <c r="P375" s="4" t="s">
        <v>318</v>
      </c>
      <c r="Q375" s="4" t="s">
        <v>4</v>
      </c>
      <c r="R375" s="4" t="s">
        <v>4</v>
      </c>
      <c r="S375" s="4" t="s">
        <v>10</v>
      </c>
      <c r="T375" s="4"/>
      <c r="U375" s="4"/>
      <c r="V375" s="4"/>
      <c r="W375" s="4" t="s">
        <v>27</v>
      </c>
      <c r="X375" s="17">
        <v>108000</v>
      </c>
      <c r="Y375" s="17">
        <v>108000</v>
      </c>
      <c r="Z375" s="4" t="s">
        <v>2211</v>
      </c>
      <c r="AA375" s="4" t="s">
        <v>2216</v>
      </c>
      <c r="AB375" s="4" t="s">
        <v>2217</v>
      </c>
      <c r="AC375" s="4" t="s">
        <v>2218</v>
      </c>
      <c r="AD375" s="4" t="s">
        <v>17</v>
      </c>
      <c r="AE375" s="4" t="s">
        <v>2219</v>
      </c>
      <c r="AF375" s="4" t="s">
        <v>19</v>
      </c>
      <c r="AG375" s="4" t="s">
        <v>19</v>
      </c>
      <c r="AH375" s="17">
        <v>119407.2136</v>
      </c>
    </row>
    <row r="376" spans="2:34" ht="15">
      <c r="B376" s="1" t="s">
        <v>153</v>
      </c>
      <c r="C376" s="2">
        <v>43669</v>
      </c>
      <c r="D376" s="1" t="s">
        <v>154</v>
      </c>
      <c r="E376" s="1" t="s">
        <v>2220</v>
      </c>
      <c r="F376" s="1" t="s">
        <v>3</v>
      </c>
      <c r="G376" s="1" t="s">
        <v>4</v>
      </c>
      <c r="H376" s="1" t="s">
        <v>109</v>
      </c>
      <c r="I376" s="2">
        <v>43668</v>
      </c>
      <c r="J376" s="3">
        <v>0.6520833333333333</v>
      </c>
      <c r="K376" s="2">
        <v>43670</v>
      </c>
      <c r="L376" s="1" t="s">
        <v>6</v>
      </c>
      <c r="M376" s="1"/>
      <c r="N376" s="1" t="s">
        <v>145</v>
      </c>
      <c r="O376" s="1" t="s">
        <v>146</v>
      </c>
      <c r="P376" s="1" t="s">
        <v>147</v>
      </c>
      <c r="Q376" s="1" t="s">
        <v>4</v>
      </c>
      <c r="R376" s="1" t="s">
        <v>4</v>
      </c>
      <c r="S376" s="1" t="s">
        <v>10</v>
      </c>
      <c r="T376" s="1"/>
      <c r="U376" s="1"/>
      <c r="V376" s="1"/>
      <c r="W376" s="1" t="s">
        <v>11</v>
      </c>
      <c r="X376" s="16">
        <v>4000</v>
      </c>
      <c r="Y376" s="16">
        <v>4000</v>
      </c>
      <c r="Z376" s="1" t="s">
        <v>2222</v>
      </c>
      <c r="AA376" s="1" t="s">
        <v>2223</v>
      </c>
      <c r="AB376" s="1" t="s">
        <v>2224</v>
      </c>
      <c r="AC376" s="1" t="s">
        <v>2225</v>
      </c>
      <c r="AD376" s="1" t="s">
        <v>17</v>
      </c>
      <c r="AE376" s="1" t="s">
        <v>18</v>
      </c>
      <c r="AF376" s="1" t="s">
        <v>19</v>
      </c>
      <c r="AG376" s="1" t="s">
        <v>19</v>
      </c>
      <c r="AH376" s="16">
        <v>15967</v>
      </c>
    </row>
    <row r="377" spans="2:34" ht="15">
      <c r="B377" s="4" t="s">
        <v>153</v>
      </c>
      <c r="C377" s="5">
        <v>43669</v>
      </c>
      <c r="D377" s="4" t="s">
        <v>154</v>
      </c>
      <c r="E377" s="4" t="s">
        <v>2226</v>
      </c>
      <c r="F377" s="4" t="s">
        <v>3</v>
      </c>
      <c r="G377" s="4" t="s">
        <v>4</v>
      </c>
      <c r="H377" s="4" t="s">
        <v>632</v>
      </c>
      <c r="I377" s="5">
        <v>43668</v>
      </c>
      <c r="J377" s="6">
        <v>0.6936689814814815</v>
      </c>
      <c r="K377" s="5">
        <v>43670</v>
      </c>
      <c r="L377" s="4" t="s">
        <v>6</v>
      </c>
      <c r="M377" s="4"/>
      <c r="N377" s="4" t="s">
        <v>316</v>
      </c>
      <c r="O377" s="4" t="s">
        <v>317</v>
      </c>
      <c r="P377" s="4" t="s">
        <v>318</v>
      </c>
      <c r="Q377" s="4" t="s">
        <v>4</v>
      </c>
      <c r="R377" s="4" t="s">
        <v>4</v>
      </c>
      <c r="S377" s="4" t="s">
        <v>10</v>
      </c>
      <c r="T377" s="4"/>
      <c r="U377" s="4"/>
      <c r="V377" s="4"/>
      <c r="W377" s="4" t="s">
        <v>27</v>
      </c>
      <c r="X377" s="17">
        <v>12000</v>
      </c>
      <c r="Y377" s="17">
        <v>12000</v>
      </c>
      <c r="Z377" s="4" t="s">
        <v>2211</v>
      </c>
      <c r="AA377" s="4" t="s">
        <v>2227</v>
      </c>
      <c r="AB377" s="4" t="s">
        <v>2228</v>
      </c>
      <c r="AC377" s="4" t="s">
        <v>2229</v>
      </c>
      <c r="AD377" s="4" t="s">
        <v>17</v>
      </c>
      <c r="AE377" s="4" t="s">
        <v>2230</v>
      </c>
      <c r="AF377" s="4" t="s">
        <v>19</v>
      </c>
      <c r="AG377" s="4" t="s">
        <v>19</v>
      </c>
      <c r="AH377" s="17">
        <v>13268.3604</v>
      </c>
    </row>
    <row r="378" spans="2:34" ht="15">
      <c r="B378" s="1" t="s">
        <v>153</v>
      </c>
      <c r="C378" s="2">
        <v>43670</v>
      </c>
      <c r="D378" s="1" t="s">
        <v>154</v>
      </c>
      <c r="E378" s="1" t="s">
        <v>2231</v>
      </c>
      <c r="F378" s="1" t="s">
        <v>3</v>
      </c>
      <c r="G378" s="1" t="s">
        <v>4</v>
      </c>
      <c r="H378" s="1" t="s">
        <v>109</v>
      </c>
      <c r="I378" s="2">
        <v>43669</v>
      </c>
      <c r="J378" s="3">
        <v>0.6201388888888889</v>
      </c>
      <c r="K378" s="2">
        <v>43671</v>
      </c>
      <c r="L378" s="1" t="s">
        <v>6</v>
      </c>
      <c r="M378" s="1"/>
      <c r="N378" s="1" t="s">
        <v>145</v>
      </c>
      <c r="O378" s="1" t="s">
        <v>146</v>
      </c>
      <c r="P378" s="1" t="s">
        <v>147</v>
      </c>
      <c r="Q378" s="1" t="s">
        <v>4</v>
      </c>
      <c r="R378" s="1" t="s">
        <v>4</v>
      </c>
      <c r="S378" s="1" t="s">
        <v>10</v>
      </c>
      <c r="T378" s="1"/>
      <c r="U378" s="1"/>
      <c r="V378" s="1"/>
      <c r="W378" s="1" t="s">
        <v>11</v>
      </c>
      <c r="X378" s="16">
        <v>5000</v>
      </c>
      <c r="Y378" s="16">
        <v>5000</v>
      </c>
      <c r="Z378" s="1" t="s">
        <v>2232</v>
      </c>
      <c r="AA378" s="1" t="s">
        <v>2233</v>
      </c>
      <c r="AB378" s="1" t="s">
        <v>2234</v>
      </c>
      <c r="AC378" s="1" t="s">
        <v>2235</v>
      </c>
      <c r="AD378" s="1" t="s">
        <v>17</v>
      </c>
      <c r="AE378" s="1" t="s">
        <v>18</v>
      </c>
      <c r="AF378" s="1" t="s">
        <v>19</v>
      </c>
      <c r="AG378" s="1" t="s">
        <v>19</v>
      </c>
      <c r="AH378" s="16">
        <v>19909.1</v>
      </c>
    </row>
    <row r="379" spans="2:34" ht="15">
      <c r="B379" s="4" t="s">
        <v>20</v>
      </c>
      <c r="C379" s="5">
        <v>43677</v>
      </c>
      <c r="D379" s="4" t="s">
        <v>21</v>
      </c>
      <c r="E379" s="4" t="s">
        <v>2236</v>
      </c>
      <c r="F379" s="4" t="s">
        <v>3</v>
      </c>
      <c r="G379" s="4" t="s">
        <v>4</v>
      </c>
      <c r="H379" s="4" t="s">
        <v>632</v>
      </c>
      <c r="I379" s="5">
        <v>43676</v>
      </c>
      <c r="J379" s="6">
        <v>0.544525462962963</v>
      </c>
      <c r="K379" s="5">
        <v>43678</v>
      </c>
      <c r="L379" s="4" t="s">
        <v>6</v>
      </c>
      <c r="M379" s="4"/>
      <c r="N379" s="4" t="s">
        <v>2237</v>
      </c>
      <c r="O379" s="4" t="s">
        <v>2238</v>
      </c>
      <c r="P379" s="4" t="s">
        <v>2239</v>
      </c>
      <c r="Q379" s="4" t="s">
        <v>4</v>
      </c>
      <c r="R379" s="4" t="s">
        <v>4</v>
      </c>
      <c r="S379" s="4" t="s">
        <v>10</v>
      </c>
      <c r="T379" s="4"/>
      <c r="U379" s="4"/>
      <c r="V379" s="4"/>
      <c r="W379" s="4" t="s">
        <v>27</v>
      </c>
      <c r="X379" s="17">
        <v>729370</v>
      </c>
      <c r="Y379" s="17">
        <v>729370</v>
      </c>
      <c r="Z379" s="4" t="s">
        <v>2241</v>
      </c>
      <c r="AA379" s="4" t="s">
        <v>2242</v>
      </c>
      <c r="AB379" s="4" t="s">
        <v>2243</v>
      </c>
      <c r="AC379" s="4" t="s">
        <v>2244</v>
      </c>
      <c r="AD379" s="4" t="s">
        <v>17</v>
      </c>
      <c r="AE379" s="4" t="s">
        <v>18</v>
      </c>
      <c r="AF379" s="4" t="s">
        <v>19</v>
      </c>
      <c r="AG379" s="4" t="s">
        <v>19</v>
      </c>
      <c r="AH379" s="17">
        <v>511581.118</v>
      </c>
    </row>
    <row r="380" spans="2:34" ht="15">
      <c r="B380" s="11" t="s">
        <v>0</v>
      </c>
      <c r="C380" s="12">
        <v>43677</v>
      </c>
      <c r="D380" s="11" t="s">
        <v>1</v>
      </c>
      <c r="E380" s="11" t="s">
        <v>963</v>
      </c>
      <c r="F380" s="11" t="s">
        <v>3</v>
      </c>
      <c r="G380" s="11" t="s">
        <v>4</v>
      </c>
      <c r="H380" s="11" t="s">
        <v>632</v>
      </c>
      <c r="I380" s="12">
        <v>43676</v>
      </c>
      <c r="J380" s="13">
        <v>0.544525462962963</v>
      </c>
      <c r="K380" s="12">
        <v>43678</v>
      </c>
      <c r="L380" s="11" t="s">
        <v>6</v>
      </c>
      <c r="M380" s="11"/>
      <c r="N380" s="11" t="s">
        <v>2237</v>
      </c>
      <c r="O380" s="11" t="s">
        <v>2238</v>
      </c>
      <c r="P380" s="11" t="s">
        <v>2239</v>
      </c>
      <c r="Q380" s="11" t="s">
        <v>4</v>
      </c>
      <c r="R380" s="11" t="s">
        <v>4</v>
      </c>
      <c r="S380" s="11" t="s">
        <v>10</v>
      </c>
      <c r="T380" s="11"/>
      <c r="U380" s="11"/>
      <c r="V380" s="11"/>
      <c r="W380" s="11" t="s">
        <v>27</v>
      </c>
      <c r="X380" s="19">
        <v>70630</v>
      </c>
      <c r="Y380" s="19">
        <v>70630</v>
      </c>
      <c r="Z380" s="11" t="s">
        <v>2241</v>
      </c>
      <c r="AA380" s="11" t="s">
        <v>2246</v>
      </c>
      <c r="AB380" s="11" t="s">
        <v>2247</v>
      </c>
      <c r="AC380" s="11" t="s">
        <v>2248</v>
      </c>
      <c r="AD380" s="11" t="s">
        <v>17</v>
      </c>
      <c r="AE380" s="11" t="s">
        <v>18</v>
      </c>
      <c r="AF380" s="11" t="s">
        <v>19</v>
      </c>
      <c r="AG380" s="11" t="s">
        <v>19</v>
      </c>
      <c r="AH380" s="19">
        <v>49540.882</v>
      </c>
    </row>
    <row r="381" spans="2:34" ht="15">
      <c r="B381" s="1" t="s">
        <v>20</v>
      </c>
      <c r="C381" s="2">
        <v>43685</v>
      </c>
      <c r="D381" s="1" t="s">
        <v>21</v>
      </c>
      <c r="E381" s="1" t="s">
        <v>2249</v>
      </c>
      <c r="F381" s="1" t="s">
        <v>3</v>
      </c>
      <c r="G381" s="1" t="s">
        <v>4</v>
      </c>
      <c r="H381" s="1" t="s">
        <v>632</v>
      </c>
      <c r="I381" s="2">
        <v>43684</v>
      </c>
      <c r="J381" s="3">
        <v>0.6585648148148148</v>
      </c>
      <c r="K381" s="2">
        <v>43686</v>
      </c>
      <c r="L381" s="1" t="s">
        <v>6</v>
      </c>
      <c r="M381" s="1"/>
      <c r="N381" s="1" t="s">
        <v>127</v>
      </c>
      <c r="O381" s="1" t="s">
        <v>128</v>
      </c>
      <c r="P381" s="1" t="s">
        <v>129</v>
      </c>
      <c r="Q381" s="1" t="s">
        <v>4</v>
      </c>
      <c r="R381" s="1" t="s">
        <v>4</v>
      </c>
      <c r="S381" s="1" t="s">
        <v>10</v>
      </c>
      <c r="T381" s="1"/>
      <c r="U381" s="1"/>
      <c r="V381" s="1"/>
      <c r="W381" s="1" t="s">
        <v>11</v>
      </c>
      <c r="X381" s="16">
        <v>10000</v>
      </c>
      <c r="Y381" s="16">
        <v>10000</v>
      </c>
      <c r="Z381" s="1" t="s">
        <v>2250</v>
      </c>
      <c r="AA381" s="1" t="s">
        <v>2251</v>
      </c>
      <c r="AB381" s="1" t="s">
        <v>2252</v>
      </c>
      <c r="AC381" s="1" t="s">
        <v>2253</v>
      </c>
      <c r="AD381" s="1" t="s">
        <v>17</v>
      </c>
      <c r="AE381" s="1" t="s">
        <v>18</v>
      </c>
      <c r="AF381" s="1" t="s">
        <v>19</v>
      </c>
      <c r="AG381" s="1" t="s">
        <v>19</v>
      </c>
      <c r="AH381" s="16">
        <v>78591.5</v>
      </c>
    </row>
    <row r="382" spans="2:34" ht="15">
      <c r="B382" s="4" t="s">
        <v>20</v>
      </c>
      <c r="C382" s="5">
        <v>43689</v>
      </c>
      <c r="D382" s="4" t="s">
        <v>21</v>
      </c>
      <c r="E382" s="4" t="s">
        <v>2255</v>
      </c>
      <c r="F382" s="4" t="s">
        <v>3</v>
      </c>
      <c r="G382" s="4" t="s">
        <v>4</v>
      </c>
      <c r="H382" s="4" t="s">
        <v>325</v>
      </c>
      <c r="I382" s="5">
        <v>43686</v>
      </c>
      <c r="J382" s="6">
        <v>0.7052430555555556</v>
      </c>
      <c r="K382" s="5">
        <v>43690</v>
      </c>
      <c r="L382" s="4" t="s">
        <v>2256</v>
      </c>
      <c r="M382" s="4"/>
      <c r="N382" s="4" t="s">
        <v>2165</v>
      </c>
      <c r="O382" s="4" t="s">
        <v>2166</v>
      </c>
      <c r="P382" s="4" t="s">
        <v>2257</v>
      </c>
      <c r="Q382" s="4" t="s">
        <v>4</v>
      </c>
      <c r="R382" s="4" t="s">
        <v>4</v>
      </c>
      <c r="S382" s="4" t="s">
        <v>4</v>
      </c>
      <c r="T382" s="4"/>
      <c r="U382" s="4"/>
      <c r="V382" s="4"/>
      <c r="W382" s="4" t="s">
        <v>2258</v>
      </c>
      <c r="X382" s="17">
        <v>1292329</v>
      </c>
      <c r="Y382" s="17">
        <v>1292329</v>
      </c>
      <c r="Z382" s="4" t="s">
        <v>2260</v>
      </c>
      <c r="AA382" s="4" t="s">
        <v>2261</v>
      </c>
      <c r="AB382" s="4" t="s">
        <v>2261</v>
      </c>
      <c r="AC382" s="4" t="s">
        <v>2262</v>
      </c>
      <c r="AD382" s="4" t="s">
        <v>17</v>
      </c>
      <c r="AE382" s="4" t="s">
        <v>18</v>
      </c>
      <c r="AF382" s="4" t="s">
        <v>19</v>
      </c>
      <c r="AG382" s="4" t="s">
        <v>19</v>
      </c>
      <c r="AH382" s="17">
        <v>1547692.21</v>
      </c>
    </row>
    <row r="383" spans="2:34" ht="15">
      <c r="B383" s="1" t="s">
        <v>153</v>
      </c>
      <c r="C383" s="2">
        <v>43693</v>
      </c>
      <c r="D383" s="1" t="s">
        <v>154</v>
      </c>
      <c r="E383" s="1" t="s">
        <v>2265</v>
      </c>
      <c r="F383" s="1" t="s">
        <v>3</v>
      </c>
      <c r="G383" s="1" t="s">
        <v>4</v>
      </c>
      <c r="H383" s="1" t="s">
        <v>90</v>
      </c>
      <c r="I383" s="2">
        <v>43692</v>
      </c>
      <c r="J383" s="3">
        <v>0.6676157407407407</v>
      </c>
      <c r="K383" s="2">
        <v>43696</v>
      </c>
      <c r="L383" s="1" t="s">
        <v>2256</v>
      </c>
      <c r="M383" s="1"/>
      <c r="N383" s="1" t="s">
        <v>391</v>
      </c>
      <c r="O383" s="1" t="s">
        <v>392</v>
      </c>
      <c r="P383" s="1" t="s">
        <v>2267</v>
      </c>
      <c r="Q383" s="1" t="s">
        <v>4</v>
      </c>
      <c r="R383" s="1" t="s">
        <v>4</v>
      </c>
      <c r="S383" s="1" t="s">
        <v>4</v>
      </c>
      <c r="T383" s="1"/>
      <c r="U383" s="1"/>
      <c r="V383" s="1"/>
      <c r="W383" s="1" t="s">
        <v>2258</v>
      </c>
      <c r="X383" s="16">
        <v>315</v>
      </c>
      <c r="Y383" s="16">
        <v>315</v>
      </c>
      <c r="Z383" s="1" t="s">
        <v>2269</v>
      </c>
      <c r="AA383" s="1" t="s">
        <v>2270</v>
      </c>
      <c r="AB383" s="1" t="s">
        <v>2270</v>
      </c>
      <c r="AC383" s="1" t="s">
        <v>2271</v>
      </c>
      <c r="AD383" s="1" t="s">
        <v>17</v>
      </c>
      <c r="AE383" s="1" t="s">
        <v>18</v>
      </c>
      <c r="AF383" s="1" t="s">
        <v>19</v>
      </c>
      <c r="AG383" s="1" t="s">
        <v>19</v>
      </c>
      <c r="AH383" s="16">
        <v>13800.84</v>
      </c>
    </row>
    <row r="384" spans="2:34" ht="15">
      <c r="B384" s="4" t="s">
        <v>153</v>
      </c>
      <c r="C384" s="5">
        <v>43693</v>
      </c>
      <c r="D384" s="4" t="s">
        <v>154</v>
      </c>
      <c r="E384" s="4" t="s">
        <v>2273</v>
      </c>
      <c r="F384" s="4" t="s">
        <v>3</v>
      </c>
      <c r="G384" s="4" t="s">
        <v>4</v>
      </c>
      <c r="H384" s="4" t="s">
        <v>119</v>
      </c>
      <c r="I384" s="5">
        <v>43692</v>
      </c>
      <c r="J384" s="6">
        <v>0.6562731481481482</v>
      </c>
      <c r="K384" s="5">
        <v>43696</v>
      </c>
      <c r="L384" s="4" t="s">
        <v>2256</v>
      </c>
      <c r="M384" s="4"/>
      <c r="N384" s="4" t="s">
        <v>288</v>
      </c>
      <c r="O384" s="4" t="s">
        <v>289</v>
      </c>
      <c r="P384" s="4" t="s">
        <v>2274</v>
      </c>
      <c r="Q384" s="4" t="s">
        <v>4</v>
      </c>
      <c r="R384" s="4" t="s">
        <v>4</v>
      </c>
      <c r="S384" s="4" t="s">
        <v>4</v>
      </c>
      <c r="T384" s="4"/>
      <c r="U384" s="4"/>
      <c r="V384" s="4"/>
      <c r="W384" s="4" t="s">
        <v>2258</v>
      </c>
      <c r="X384" s="17">
        <v>7800</v>
      </c>
      <c r="Y384" s="17">
        <v>7800</v>
      </c>
      <c r="Z384" s="4" t="s">
        <v>563</v>
      </c>
      <c r="AA384" s="4" t="s">
        <v>2276</v>
      </c>
      <c r="AB384" s="4" t="s">
        <v>2276</v>
      </c>
      <c r="AC384" s="4" t="s">
        <v>2277</v>
      </c>
      <c r="AD384" s="4" t="s">
        <v>17</v>
      </c>
      <c r="AE384" s="4" t="s">
        <v>18</v>
      </c>
      <c r="AF384" s="4" t="s">
        <v>19</v>
      </c>
      <c r="AG384" s="4" t="s">
        <v>19</v>
      </c>
      <c r="AH384" s="17">
        <v>24986.92</v>
      </c>
    </row>
    <row r="385" spans="2:34" ht="15">
      <c r="B385" s="1" t="s">
        <v>0</v>
      </c>
      <c r="C385" s="2">
        <v>43696</v>
      </c>
      <c r="D385" s="1" t="s">
        <v>1</v>
      </c>
      <c r="E385" s="1" t="s">
        <v>2279</v>
      </c>
      <c r="F385" s="1" t="s">
        <v>3</v>
      </c>
      <c r="G385" s="1" t="s">
        <v>4</v>
      </c>
      <c r="H385" s="1" t="s">
        <v>325</v>
      </c>
      <c r="I385" s="2">
        <v>43693</v>
      </c>
      <c r="J385" s="3">
        <v>0.8328009259259259</v>
      </c>
      <c r="K385" s="2">
        <v>43697</v>
      </c>
      <c r="L385" s="1" t="s">
        <v>2256</v>
      </c>
      <c r="M385" s="1"/>
      <c r="N385" s="1" t="s">
        <v>596</v>
      </c>
      <c r="O385" s="1" t="s">
        <v>597</v>
      </c>
      <c r="P385" s="1" t="s">
        <v>2280</v>
      </c>
      <c r="Q385" s="1" t="s">
        <v>4</v>
      </c>
      <c r="R385" s="1" t="s">
        <v>4</v>
      </c>
      <c r="S385" s="1" t="s">
        <v>10</v>
      </c>
      <c r="T385" s="1"/>
      <c r="U385" s="1"/>
      <c r="V385" s="1"/>
      <c r="W385" s="1" t="s">
        <v>2258</v>
      </c>
      <c r="X385" s="16">
        <v>82086</v>
      </c>
      <c r="Y385" s="16">
        <v>82086</v>
      </c>
      <c r="Z385" s="1" t="s">
        <v>2282</v>
      </c>
      <c r="AA385" s="1" t="s">
        <v>2283</v>
      </c>
      <c r="AB385" s="1" t="s">
        <v>2284</v>
      </c>
      <c r="AC385" s="1" t="s">
        <v>2285</v>
      </c>
      <c r="AD385" s="1" t="s">
        <v>17</v>
      </c>
      <c r="AE385" s="1" t="s">
        <v>18</v>
      </c>
      <c r="AF385" s="1" t="s">
        <v>19</v>
      </c>
      <c r="AG385" s="1" t="s">
        <v>19</v>
      </c>
      <c r="AH385" s="16">
        <v>122881.74</v>
      </c>
    </row>
    <row r="386" spans="2:34" ht="15">
      <c r="B386" s="4" t="s">
        <v>0</v>
      </c>
      <c r="C386" s="5">
        <v>43696</v>
      </c>
      <c r="D386" s="4" t="s">
        <v>1</v>
      </c>
      <c r="E386" s="4" t="s">
        <v>2286</v>
      </c>
      <c r="F386" s="4" t="s">
        <v>3</v>
      </c>
      <c r="G386" s="4" t="s">
        <v>4</v>
      </c>
      <c r="H386" s="4" t="s">
        <v>632</v>
      </c>
      <c r="I386" s="5">
        <v>43693</v>
      </c>
      <c r="J386" s="6">
        <v>0.8326967592592592</v>
      </c>
      <c r="K386" s="5">
        <v>43697</v>
      </c>
      <c r="L386" s="4" t="s">
        <v>2256</v>
      </c>
      <c r="M386" s="4"/>
      <c r="N386" s="4" t="s">
        <v>2287</v>
      </c>
      <c r="O386" s="4" t="s">
        <v>2288</v>
      </c>
      <c r="P386" s="4" t="s">
        <v>2289</v>
      </c>
      <c r="Q386" s="4" t="s">
        <v>4</v>
      </c>
      <c r="R386" s="4" t="s">
        <v>4</v>
      </c>
      <c r="S386" s="4" t="s">
        <v>10</v>
      </c>
      <c r="T386" s="4"/>
      <c r="U386" s="4"/>
      <c r="V386" s="4"/>
      <c r="W386" s="4" t="s">
        <v>2258</v>
      </c>
      <c r="X386" s="17">
        <v>110000</v>
      </c>
      <c r="Y386" s="17">
        <v>110000</v>
      </c>
      <c r="Z386" s="4" t="s">
        <v>2290</v>
      </c>
      <c r="AA386" s="4" t="s">
        <v>2291</v>
      </c>
      <c r="AB386" s="4" t="s">
        <v>2292</v>
      </c>
      <c r="AC386" s="4" t="s">
        <v>2293</v>
      </c>
      <c r="AD386" s="4" t="s">
        <v>17</v>
      </c>
      <c r="AE386" s="4" t="s">
        <v>18</v>
      </c>
      <c r="AF386" s="4" t="s">
        <v>19</v>
      </c>
      <c r="AG386" s="4" t="s">
        <v>19</v>
      </c>
      <c r="AH386" s="17">
        <v>31780.31</v>
      </c>
    </row>
    <row r="387" spans="2:34" ht="15">
      <c r="B387" s="1" t="s">
        <v>0</v>
      </c>
      <c r="C387" s="2">
        <v>43697</v>
      </c>
      <c r="D387" s="1" t="s">
        <v>1</v>
      </c>
      <c r="E387" s="1" t="s">
        <v>2294</v>
      </c>
      <c r="F387" s="1" t="s">
        <v>3</v>
      </c>
      <c r="G387" s="1" t="s">
        <v>4</v>
      </c>
      <c r="H387" s="1" t="s">
        <v>119</v>
      </c>
      <c r="I387" s="2">
        <v>43697</v>
      </c>
      <c r="J387" s="3">
        <v>0.3992361111111111</v>
      </c>
      <c r="K387" s="2">
        <v>43699</v>
      </c>
      <c r="L387" s="1" t="s">
        <v>2256</v>
      </c>
      <c r="M387" s="1"/>
      <c r="N387" s="1" t="s">
        <v>663</v>
      </c>
      <c r="O387" s="1" t="s">
        <v>664</v>
      </c>
      <c r="P387" s="1" t="s">
        <v>2295</v>
      </c>
      <c r="Q387" s="1" t="s">
        <v>4</v>
      </c>
      <c r="R387" s="1" t="s">
        <v>4</v>
      </c>
      <c r="S387" s="1" t="s">
        <v>10</v>
      </c>
      <c r="T387" s="1"/>
      <c r="U387" s="1"/>
      <c r="V387" s="1"/>
      <c r="W387" s="1" t="s">
        <v>1963</v>
      </c>
      <c r="X387" s="16">
        <v>69669</v>
      </c>
      <c r="Y387" s="16">
        <v>69669</v>
      </c>
      <c r="Z387" s="1" t="s">
        <v>361</v>
      </c>
      <c r="AA387" s="1" t="s">
        <v>2297</v>
      </c>
      <c r="AB387" s="1" t="s">
        <v>2298</v>
      </c>
      <c r="AC387" s="1" t="s">
        <v>2299</v>
      </c>
      <c r="AD387" s="1" t="s">
        <v>17</v>
      </c>
      <c r="AE387" s="1" t="s">
        <v>2300</v>
      </c>
      <c r="AF387" s="1" t="s">
        <v>19</v>
      </c>
      <c r="AG387" s="1" t="s">
        <v>19</v>
      </c>
      <c r="AH387" s="16">
        <v>187321.2</v>
      </c>
    </row>
    <row r="388" spans="2:34" ht="15">
      <c r="B388" s="4" t="s">
        <v>0</v>
      </c>
      <c r="C388" s="5">
        <v>43697</v>
      </c>
      <c r="D388" s="4" t="s">
        <v>1</v>
      </c>
      <c r="E388" s="4" t="s">
        <v>2301</v>
      </c>
      <c r="F388" s="4" t="s">
        <v>3</v>
      </c>
      <c r="G388" s="4" t="s">
        <v>4</v>
      </c>
      <c r="H388" s="4" t="s">
        <v>119</v>
      </c>
      <c r="I388" s="5">
        <v>43696</v>
      </c>
      <c r="J388" s="6">
        <v>0.7083333333333334</v>
      </c>
      <c r="K388" s="5">
        <v>43698</v>
      </c>
      <c r="L388" s="4" t="s">
        <v>2256</v>
      </c>
      <c r="M388" s="4"/>
      <c r="N388" s="4" t="s">
        <v>663</v>
      </c>
      <c r="O388" s="4" t="s">
        <v>664</v>
      </c>
      <c r="P388" s="4" t="s">
        <v>2295</v>
      </c>
      <c r="Q388" s="4" t="s">
        <v>4</v>
      </c>
      <c r="R388" s="4" t="s">
        <v>4</v>
      </c>
      <c r="S388" s="4" t="s">
        <v>10</v>
      </c>
      <c r="T388" s="4"/>
      <c r="U388" s="4"/>
      <c r="V388" s="4"/>
      <c r="W388" s="4" t="s">
        <v>1963</v>
      </c>
      <c r="X388" s="17">
        <v>35000</v>
      </c>
      <c r="Y388" s="17">
        <v>35000</v>
      </c>
      <c r="Z388" s="4" t="s">
        <v>2302</v>
      </c>
      <c r="AA388" s="4" t="s">
        <v>2303</v>
      </c>
      <c r="AB388" s="4" t="s">
        <v>2304</v>
      </c>
      <c r="AC388" s="4" t="s">
        <v>2305</v>
      </c>
      <c r="AD388" s="4" t="s">
        <v>17</v>
      </c>
      <c r="AE388" s="4" t="s">
        <v>2306</v>
      </c>
      <c r="AF388" s="4" t="s">
        <v>19</v>
      </c>
      <c r="AG388" s="4" t="s">
        <v>19</v>
      </c>
      <c r="AH388" s="17">
        <v>93224.95</v>
      </c>
    </row>
    <row r="389" spans="2:34" ht="15">
      <c r="B389" s="4" t="s">
        <v>0</v>
      </c>
      <c r="C389" s="5">
        <v>43698</v>
      </c>
      <c r="D389" s="4" t="s">
        <v>1</v>
      </c>
      <c r="E389" s="4" t="s">
        <v>2307</v>
      </c>
      <c r="F389" s="4" t="s">
        <v>3</v>
      </c>
      <c r="G389" s="4" t="s">
        <v>4</v>
      </c>
      <c r="H389" s="4" t="s">
        <v>119</v>
      </c>
      <c r="I389" s="5">
        <v>43697</v>
      </c>
      <c r="J389" s="6">
        <v>0.42269675925925926</v>
      </c>
      <c r="K389" s="5">
        <v>43699</v>
      </c>
      <c r="L389" s="4" t="s">
        <v>2256</v>
      </c>
      <c r="M389" s="4"/>
      <c r="N389" s="4" t="s">
        <v>663</v>
      </c>
      <c r="O389" s="4" t="s">
        <v>664</v>
      </c>
      <c r="P389" s="4" t="s">
        <v>2295</v>
      </c>
      <c r="Q389" s="4" t="s">
        <v>4</v>
      </c>
      <c r="R389" s="4" t="s">
        <v>4</v>
      </c>
      <c r="S389" s="4" t="s">
        <v>10</v>
      </c>
      <c r="T389" s="4"/>
      <c r="U389" s="4"/>
      <c r="V389" s="4"/>
      <c r="W389" s="4" t="s">
        <v>1963</v>
      </c>
      <c r="X389" s="17">
        <v>35000</v>
      </c>
      <c r="Y389" s="17">
        <v>35000</v>
      </c>
      <c r="Z389" s="4" t="s">
        <v>2302</v>
      </c>
      <c r="AA389" s="4" t="s">
        <v>2303</v>
      </c>
      <c r="AB389" s="4" t="s">
        <v>2304</v>
      </c>
      <c r="AC389" s="4" t="s">
        <v>2305</v>
      </c>
      <c r="AD389" s="4" t="s">
        <v>17</v>
      </c>
      <c r="AE389" s="4" t="s">
        <v>2306</v>
      </c>
      <c r="AF389" s="4" t="s">
        <v>19</v>
      </c>
      <c r="AG389" s="4" t="s">
        <v>19</v>
      </c>
      <c r="AH389" s="17">
        <v>93224.95</v>
      </c>
    </row>
    <row r="390" spans="2:34" ht="15">
      <c r="B390" s="4" t="s">
        <v>0</v>
      </c>
      <c r="C390" s="5">
        <v>43699</v>
      </c>
      <c r="D390" s="4" t="s">
        <v>1</v>
      </c>
      <c r="E390" s="4" t="s">
        <v>2314</v>
      </c>
      <c r="F390" s="4" t="s">
        <v>3</v>
      </c>
      <c r="G390" s="4" t="s">
        <v>4</v>
      </c>
      <c r="H390" s="4" t="s">
        <v>119</v>
      </c>
      <c r="I390" s="5">
        <v>43698</v>
      </c>
      <c r="J390" s="6">
        <v>0.7083333333333334</v>
      </c>
      <c r="K390" s="5">
        <v>43700</v>
      </c>
      <c r="L390" s="4" t="s">
        <v>6</v>
      </c>
      <c r="M390" s="4"/>
      <c r="N390" s="4" t="s">
        <v>450</v>
      </c>
      <c r="O390" s="4" t="s">
        <v>451</v>
      </c>
      <c r="P390" s="4" t="s">
        <v>2315</v>
      </c>
      <c r="Q390" s="4" t="s">
        <v>4</v>
      </c>
      <c r="R390" s="4" t="s">
        <v>4</v>
      </c>
      <c r="S390" s="4" t="s">
        <v>10</v>
      </c>
      <c r="T390" s="4"/>
      <c r="U390" s="4"/>
      <c r="V390" s="4"/>
      <c r="W390" s="4" t="s">
        <v>2258</v>
      </c>
      <c r="X390" s="17">
        <v>18910</v>
      </c>
      <c r="Y390" s="17">
        <v>18910</v>
      </c>
      <c r="Z390" s="4" t="s">
        <v>2317</v>
      </c>
      <c r="AA390" s="4" t="s">
        <v>2318</v>
      </c>
      <c r="AB390" s="4" t="s">
        <v>2319</v>
      </c>
      <c r="AC390" s="4" t="s">
        <v>2320</v>
      </c>
      <c r="AD390" s="4" t="s">
        <v>17</v>
      </c>
      <c r="AE390" s="4" t="s">
        <v>18</v>
      </c>
      <c r="AF390" s="4" t="s">
        <v>19</v>
      </c>
      <c r="AG390" s="4" t="s">
        <v>19</v>
      </c>
      <c r="AH390" s="17">
        <v>111724.7</v>
      </c>
    </row>
    <row r="391" spans="2:34" ht="15">
      <c r="B391" s="4" t="s">
        <v>0</v>
      </c>
      <c r="C391" s="5">
        <v>43700</v>
      </c>
      <c r="D391" s="4" t="s">
        <v>1</v>
      </c>
      <c r="E391" s="4" t="s">
        <v>2324</v>
      </c>
      <c r="F391" s="4" t="s">
        <v>3</v>
      </c>
      <c r="G391" s="4" t="s">
        <v>4</v>
      </c>
      <c r="H391" s="4" t="s">
        <v>914</v>
      </c>
      <c r="I391" s="5">
        <v>43699</v>
      </c>
      <c r="J391" s="6">
        <v>0.7375694444444445</v>
      </c>
      <c r="K391" s="5">
        <v>43704</v>
      </c>
      <c r="L391" s="4" t="s">
        <v>2256</v>
      </c>
      <c r="M391" s="4"/>
      <c r="N391" s="4" t="s">
        <v>156</v>
      </c>
      <c r="O391" s="4" t="s">
        <v>157</v>
      </c>
      <c r="P391" s="4" t="s">
        <v>2325</v>
      </c>
      <c r="Q391" s="4" t="s">
        <v>4</v>
      </c>
      <c r="R391" s="4" t="s">
        <v>4</v>
      </c>
      <c r="S391" s="4" t="s">
        <v>10</v>
      </c>
      <c r="T391" s="4"/>
      <c r="U391" s="4"/>
      <c r="V391" s="4"/>
      <c r="W391" s="4" t="s">
        <v>1963</v>
      </c>
      <c r="X391" s="17">
        <v>15000</v>
      </c>
      <c r="Y391" s="17">
        <v>18910</v>
      </c>
      <c r="Z391" s="4" t="s">
        <v>2326</v>
      </c>
      <c r="AA391" s="4" t="s">
        <v>2327</v>
      </c>
      <c r="AB391" s="4" t="s">
        <v>2328</v>
      </c>
      <c r="AC391" s="4" t="s">
        <v>2329</v>
      </c>
      <c r="AD391" s="4" t="s">
        <v>17</v>
      </c>
      <c r="AE391" s="4" t="s">
        <v>18</v>
      </c>
      <c r="AF391" s="4" t="s">
        <v>19</v>
      </c>
      <c r="AG391" s="4" t="s">
        <v>19</v>
      </c>
      <c r="AH391" s="17">
        <v>29910.7</v>
      </c>
    </row>
    <row r="392" spans="2:34" ht="15">
      <c r="B392" s="1" t="s">
        <v>153</v>
      </c>
      <c r="C392" s="2">
        <v>43700</v>
      </c>
      <c r="D392" s="1" t="s">
        <v>154</v>
      </c>
      <c r="E392" s="1" t="s">
        <v>2330</v>
      </c>
      <c r="F392" s="1" t="s">
        <v>3</v>
      </c>
      <c r="G392" s="1" t="s">
        <v>4</v>
      </c>
      <c r="H392" s="1" t="s">
        <v>632</v>
      </c>
      <c r="I392" s="2">
        <v>43700</v>
      </c>
      <c r="J392" s="3">
        <v>0.36537037037037035</v>
      </c>
      <c r="K392" s="2">
        <v>43705</v>
      </c>
      <c r="L392" s="1" t="s">
        <v>2256</v>
      </c>
      <c r="M392" s="1"/>
      <c r="N392" s="1" t="s">
        <v>876</v>
      </c>
      <c r="O392" s="1" t="s">
        <v>877</v>
      </c>
      <c r="P392" s="1" t="s">
        <v>2332</v>
      </c>
      <c r="Q392" s="1" t="s">
        <v>4</v>
      </c>
      <c r="R392" s="1" t="s">
        <v>4</v>
      </c>
      <c r="S392" s="1" t="s">
        <v>10</v>
      </c>
      <c r="T392" s="1"/>
      <c r="U392" s="1"/>
      <c r="V392" s="1"/>
      <c r="W392" s="1" t="s">
        <v>1963</v>
      </c>
      <c r="X392" s="16">
        <v>15500</v>
      </c>
      <c r="Y392" s="16">
        <v>15500</v>
      </c>
      <c r="Z392" s="1" t="s">
        <v>2334</v>
      </c>
      <c r="AA392" s="1" t="s">
        <v>2335</v>
      </c>
      <c r="AB392" s="1" t="s">
        <v>2336</v>
      </c>
      <c r="AC392" s="1" t="s">
        <v>2337</v>
      </c>
      <c r="AD392" s="1" t="s">
        <v>17</v>
      </c>
      <c r="AE392" s="1" t="s">
        <v>2338</v>
      </c>
      <c r="AF392" s="1" t="s">
        <v>19</v>
      </c>
      <c r="AG392" s="1" t="s">
        <v>19</v>
      </c>
      <c r="AH392" s="16">
        <v>22321.38</v>
      </c>
    </row>
    <row r="393" spans="2:34" ht="15">
      <c r="B393" s="4" t="s">
        <v>153</v>
      </c>
      <c r="C393" s="5">
        <v>43700</v>
      </c>
      <c r="D393" s="4" t="s">
        <v>154</v>
      </c>
      <c r="E393" s="4" t="s">
        <v>2339</v>
      </c>
      <c r="F393" s="4" t="s">
        <v>3</v>
      </c>
      <c r="G393" s="4" t="s">
        <v>4</v>
      </c>
      <c r="H393" s="4" t="s">
        <v>632</v>
      </c>
      <c r="I393" s="5">
        <v>43700</v>
      </c>
      <c r="J393" s="6">
        <v>0.3768287037037037</v>
      </c>
      <c r="K393" s="5">
        <v>43705</v>
      </c>
      <c r="L393" s="4" t="s">
        <v>2256</v>
      </c>
      <c r="M393" s="4"/>
      <c r="N393" s="4" t="s">
        <v>39</v>
      </c>
      <c r="O393" s="4" t="s">
        <v>40</v>
      </c>
      <c r="P393" s="4" t="s">
        <v>2340</v>
      </c>
      <c r="Q393" s="4" t="s">
        <v>4</v>
      </c>
      <c r="R393" s="4" t="s">
        <v>4</v>
      </c>
      <c r="S393" s="4" t="s">
        <v>10</v>
      </c>
      <c r="T393" s="4"/>
      <c r="U393" s="4"/>
      <c r="V393" s="4"/>
      <c r="W393" s="4" t="s">
        <v>1963</v>
      </c>
      <c r="X393" s="17">
        <v>35500</v>
      </c>
      <c r="Y393" s="17">
        <v>35500</v>
      </c>
      <c r="Z393" s="4" t="s">
        <v>880</v>
      </c>
      <c r="AA393" s="4" t="s">
        <v>2342</v>
      </c>
      <c r="AB393" s="4" t="s">
        <v>2343</v>
      </c>
      <c r="AC393" s="4" t="s">
        <v>2344</v>
      </c>
      <c r="AD393" s="4" t="s">
        <v>17</v>
      </c>
      <c r="AE393" s="4" t="s">
        <v>18</v>
      </c>
      <c r="AF393" s="4" t="s">
        <v>19</v>
      </c>
      <c r="AG393" s="4" t="s">
        <v>19</v>
      </c>
      <c r="AH393" s="17">
        <v>45531.88</v>
      </c>
    </row>
    <row r="394" spans="2:34" ht="15">
      <c r="B394" s="1" t="s">
        <v>0</v>
      </c>
      <c r="C394" s="2">
        <v>43704</v>
      </c>
      <c r="D394" s="1" t="s">
        <v>1</v>
      </c>
      <c r="E394" s="1" t="s">
        <v>2345</v>
      </c>
      <c r="F394" s="1" t="s">
        <v>3</v>
      </c>
      <c r="G394" s="1" t="s">
        <v>4</v>
      </c>
      <c r="H394" s="1" t="s">
        <v>914</v>
      </c>
      <c r="I394" s="2">
        <v>43700</v>
      </c>
      <c r="J394" s="3">
        <v>0.7309722222222222</v>
      </c>
      <c r="K394" s="2">
        <v>43705</v>
      </c>
      <c r="L394" s="1" t="s">
        <v>2256</v>
      </c>
      <c r="M394" s="1"/>
      <c r="N394" s="1" t="s">
        <v>156</v>
      </c>
      <c r="O394" s="1" t="s">
        <v>157</v>
      </c>
      <c r="P394" s="1" t="s">
        <v>2325</v>
      </c>
      <c r="Q394" s="1" t="s">
        <v>4</v>
      </c>
      <c r="R394" s="1" t="s">
        <v>4</v>
      </c>
      <c r="S394" s="1" t="s">
        <v>4</v>
      </c>
      <c r="T394" s="1"/>
      <c r="U394" s="1"/>
      <c r="V394" s="1"/>
      <c r="W394" s="1" t="s">
        <v>1963</v>
      </c>
      <c r="X394" s="16">
        <v>5000</v>
      </c>
      <c r="Y394" s="16">
        <v>5000</v>
      </c>
      <c r="Z394" s="1" t="s">
        <v>2326</v>
      </c>
      <c r="AA394" s="1" t="s">
        <v>2346</v>
      </c>
      <c r="AB394" s="1" t="s">
        <v>2347</v>
      </c>
      <c r="AC394" s="1" t="s">
        <v>2348</v>
      </c>
      <c r="AD394" s="1" t="s">
        <v>17</v>
      </c>
      <c r="AE394" s="1" t="s">
        <v>17</v>
      </c>
      <c r="AF394" s="1" t="s">
        <v>19</v>
      </c>
      <c r="AG394" s="1" t="s">
        <v>19</v>
      </c>
      <c r="AH394" s="16">
        <v>9969.9</v>
      </c>
    </row>
    <row r="395" spans="2:34" ht="15">
      <c r="B395" s="4" t="s">
        <v>0</v>
      </c>
      <c r="C395" s="5">
        <v>43704</v>
      </c>
      <c r="D395" s="4" t="s">
        <v>1</v>
      </c>
      <c r="E395" s="4" t="s">
        <v>2349</v>
      </c>
      <c r="F395" s="4" t="s">
        <v>3</v>
      </c>
      <c r="G395" s="4" t="s">
        <v>4</v>
      </c>
      <c r="H395" s="4" t="s">
        <v>119</v>
      </c>
      <c r="I395" s="5">
        <v>43700</v>
      </c>
      <c r="J395" s="6">
        <v>0.6872569444444444</v>
      </c>
      <c r="K395" s="5">
        <v>43705</v>
      </c>
      <c r="L395" s="4" t="s">
        <v>2256</v>
      </c>
      <c r="M395" s="4"/>
      <c r="N395" s="4" t="s">
        <v>450</v>
      </c>
      <c r="O395" s="4" t="s">
        <v>451</v>
      </c>
      <c r="P395" s="4" t="s">
        <v>2315</v>
      </c>
      <c r="Q395" s="4" t="s">
        <v>4</v>
      </c>
      <c r="R395" s="4" t="s">
        <v>4</v>
      </c>
      <c r="S395" s="4" t="s">
        <v>4</v>
      </c>
      <c r="T395" s="4"/>
      <c r="U395" s="4"/>
      <c r="V395" s="4"/>
      <c r="W395" s="4" t="s">
        <v>2258</v>
      </c>
      <c r="X395" s="17">
        <v>2</v>
      </c>
      <c r="Y395" s="17">
        <v>2</v>
      </c>
      <c r="Z395" s="4" t="s">
        <v>1539</v>
      </c>
      <c r="AA395" s="4" t="s">
        <v>2350</v>
      </c>
      <c r="AB395" s="4" t="s">
        <v>2351</v>
      </c>
      <c r="AC395" s="4" t="s">
        <v>2352</v>
      </c>
      <c r="AD395" s="4" t="s">
        <v>17</v>
      </c>
      <c r="AE395" s="4" t="s">
        <v>17</v>
      </c>
      <c r="AF395" s="4" t="s">
        <v>19</v>
      </c>
      <c r="AG395" s="4" t="s">
        <v>19</v>
      </c>
      <c r="AH395" s="17">
        <v>11.78</v>
      </c>
    </row>
    <row r="396" spans="2:34" ht="15">
      <c r="B396" s="4" t="s">
        <v>20</v>
      </c>
      <c r="C396" s="5">
        <v>43706</v>
      </c>
      <c r="D396" s="4" t="s">
        <v>21</v>
      </c>
      <c r="E396" s="4" t="s">
        <v>2345</v>
      </c>
      <c r="F396" s="4" t="s">
        <v>3</v>
      </c>
      <c r="G396" s="4" t="s">
        <v>4</v>
      </c>
      <c r="H396" s="4" t="s">
        <v>23</v>
      </c>
      <c r="I396" s="5">
        <v>43699</v>
      </c>
      <c r="J396" s="6">
        <v>0.3333333333333333</v>
      </c>
      <c r="K396" s="5">
        <v>43706</v>
      </c>
      <c r="L396" s="4" t="s">
        <v>2256</v>
      </c>
      <c r="M396" s="4"/>
      <c r="N396" s="4" t="s">
        <v>2353</v>
      </c>
      <c r="O396" s="4" t="s">
        <v>2309</v>
      </c>
      <c r="P396" s="4" t="s">
        <v>2310</v>
      </c>
      <c r="Q396" s="4" t="s">
        <v>4</v>
      </c>
      <c r="R396" s="4" t="s">
        <v>85</v>
      </c>
      <c r="S396" s="4" t="s">
        <v>4</v>
      </c>
      <c r="T396" s="4"/>
      <c r="U396" s="4"/>
      <c r="V396" s="4"/>
      <c r="W396" s="4" t="s">
        <v>1963</v>
      </c>
      <c r="X396" s="17">
        <v>3388899</v>
      </c>
      <c r="Y396" s="17">
        <v>3388899</v>
      </c>
      <c r="Z396" s="4" t="s">
        <v>2312</v>
      </c>
      <c r="AA396" s="4" t="s">
        <v>2313</v>
      </c>
      <c r="AB396" s="4" t="s">
        <v>2313</v>
      </c>
      <c r="AC396" s="4" t="s">
        <v>17</v>
      </c>
      <c r="AD396" s="4" t="s">
        <v>17</v>
      </c>
      <c r="AE396" s="4" t="s">
        <v>17</v>
      </c>
      <c r="AF396" s="4" t="s">
        <v>19</v>
      </c>
      <c r="AG396" s="4" t="s">
        <v>19</v>
      </c>
      <c r="AH396" s="17">
        <v>2202784.35</v>
      </c>
    </row>
    <row r="397" spans="2:34" ht="15">
      <c r="B397" s="1" t="s">
        <v>20</v>
      </c>
      <c r="C397" s="2">
        <v>43706</v>
      </c>
      <c r="D397" s="1" t="s">
        <v>21</v>
      </c>
      <c r="E397" s="1" t="s">
        <v>2354</v>
      </c>
      <c r="F397" s="1" t="s">
        <v>3</v>
      </c>
      <c r="G397" s="1" t="s">
        <v>4</v>
      </c>
      <c r="H397" s="1" t="s">
        <v>632</v>
      </c>
      <c r="I397" s="2">
        <v>43706</v>
      </c>
      <c r="J397" s="3">
        <v>0.4084027777777778</v>
      </c>
      <c r="K397" s="2">
        <v>43710</v>
      </c>
      <c r="L397" s="1" t="s">
        <v>2256</v>
      </c>
      <c r="M397" s="1"/>
      <c r="N397" s="1" t="s">
        <v>110</v>
      </c>
      <c r="O397" s="1" t="s">
        <v>111</v>
      </c>
      <c r="P397" s="1" t="s">
        <v>2355</v>
      </c>
      <c r="Q397" s="1" t="s">
        <v>4</v>
      </c>
      <c r="R397" s="1" t="s">
        <v>4</v>
      </c>
      <c r="S397" s="1" t="s">
        <v>10</v>
      </c>
      <c r="T397" s="1"/>
      <c r="U397" s="1"/>
      <c r="V397" s="1"/>
      <c r="W397" s="1" t="s">
        <v>2258</v>
      </c>
      <c r="X397" s="16">
        <v>55000</v>
      </c>
      <c r="Y397" s="16">
        <v>55000</v>
      </c>
      <c r="Z397" s="1" t="s">
        <v>2357</v>
      </c>
      <c r="AA397" s="1" t="s">
        <v>2358</v>
      </c>
      <c r="AB397" s="1" t="s">
        <v>2359</v>
      </c>
      <c r="AC397" s="1" t="s">
        <v>2360</v>
      </c>
      <c r="AD397" s="1" t="s">
        <v>17</v>
      </c>
      <c r="AE397" s="1" t="s">
        <v>18</v>
      </c>
      <c r="AF397" s="1" t="s">
        <v>19</v>
      </c>
      <c r="AG397" s="1" t="s">
        <v>19</v>
      </c>
      <c r="AH397" s="16">
        <v>170706.9</v>
      </c>
    </row>
    <row r="398" spans="2:34" ht="15">
      <c r="B398" s="4" t="s">
        <v>0</v>
      </c>
      <c r="C398" s="5">
        <v>43706</v>
      </c>
      <c r="D398" s="4" t="s">
        <v>1</v>
      </c>
      <c r="E398" s="4" t="s">
        <v>2361</v>
      </c>
      <c r="F398" s="4" t="s">
        <v>3</v>
      </c>
      <c r="G398" s="4" t="s">
        <v>4</v>
      </c>
      <c r="H398" s="4" t="s">
        <v>632</v>
      </c>
      <c r="I398" s="5">
        <v>43705</v>
      </c>
      <c r="J398" s="6">
        <v>0.6909259259259259</v>
      </c>
      <c r="K398" s="5">
        <v>43707</v>
      </c>
      <c r="L398" s="4" t="s">
        <v>2256</v>
      </c>
      <c r="M398" s="4"/>
      <c r="N398" s="4" t="s">
        <v>316</v>
      </c>
      <c r="O398" s="4" t="s">
        <v>317</v>
      </c>
      <c r="P398" s="4" t="s">
        <v>2362</v>
      </c>
      <c r="Q398" s="4" t="s">
        <v>4</v>
      </c>
      <c r="R398" s="4" t="s">
        <v>4</v>
      </c>
      <c r="S398" s="4" t="s">
        <v>10</v>
      </c>
      <c r="T398" s="4"/>
      <c r="U398" s="4"/>
      <c r="V398" s="4"/>
      <c r="W398" s="4" t="s">
        <v>1963</v>
      </c>
      <c r="X398" s="17">
        <v>70021</v>
      </c>
      <c r="Y398" s="17">
        <v>70021</v>
      </c>
      <c r="Z398" s="4" t="s">
        <v>2074</v>
      </c>
      <c r="AA398" s="4" t="s">
        <v>2364</v>
      </c>
      <c r="AB398" s="4" t="s">
        <v>2365</v>
      </c>
      <c r="AC398" s="4" t="s">
        <v>2366</v>
      </c>
      <c r="AD398" s="4" t="s">
        <v>17</v>
      </c>
      <c r="AE398" s="4" t="s">
        <v>2367</v>
      </c>
      <c r="AF398" s="4" t="s">
        <v>19</v>
      </c>
      <c r="AG398" s="4" t="s">
        <v>19</v>
      </c>
      <c r="AH398" s="17">
        <v>81794.73872</v>
      </c>
    </row>
    <row r="399" spans="2:34" ht="15">
      <c r="B399" s="4" t="s">
        <v>153</v>
      </c>
      <c r="C399" s="5">
        <v>43706</v>
      </c>
      <c r="D399" s="4" t="s">
        <v>154</v>
      </c>
      <c r="E399" s="4" t="s">
        <v>2349</v>
      </c>
      <c r="F399" s="4" t="s">
        <v>3</v>
      </c>
      <c r="G399" s="4" t="s">
        <v>4</v>
      </c>
      <c r="H399" s="4" t="s">
        <v>23</v>
      </c>
      <c r="I399" s="5">
        <v>43699</v>
      </c>
      <c r="J399" s="6">
        <v>0.3333333333333333</v>
      </c>
      <c r="K399" s="5">
        <v>43706</v>
      </c>
      <c r="L399" s="4" t="s">
        <v>2256</v>
      </c>
      <c r="M399" s="4"/>
      <c r="N399" s="4" t="s">
        <v>2353</v>
      </c>
      <c r="O399" s="4" t="s">
        <v>2309</v>
      </c>
      <c r="P399" s="4" t="s">
        <v>2310</v>
      </c>
      <c r="Q399" s="4" t="s">
        <v>4</v>
      </c>
      <c r="R399" s="4" t="s">
        <v>85</v>
      </c>
      <c r="S399" s="4" t="s">
        <v>4</v>
      </c>
      <c r="T399" s="4"/>
      <c r="U399" s="4"/>
      <c r="V399" s="4"/>
      <c r="W399" s="4" t="s">
        <v>1963</v>
      </c>
      <c r="X399" s="17">
        <v>71101</v>
      </c>
      <c r="Y399" s="17">
        <v>71101</v>
      </c>
      <c r="Z399" s="4" t="s">
        <v>2312</v>
      </c>
      <c r="AA399" s="4" t="s">
        <v>2323</v>
      </c>
      <c r="AB399" s="4" t="s">
        <v>2323</v>
      </c>
      <c r="AC399" s="4" t="s">
        <v>17</v>
      </c>
      <c r="AD399" s="4" t="s">
        <v>17</v>
      </c>
      <c r="AE399" s="4" t="s">
        <v>17</v>
      </c>
      <c r="AF399" s="4" t="s">
        <v>19</v>
      </c>
      <c r="AG399" s="4" t="s">
        <v>19</v>
      </c>
      <c r="AH399" s="17">
        <v>46215.65</v>
      </c>
    </row>
    <row r="400" spans="2:34" ht="15">
      <c r="B400" s="7" t="s">
        <v>20</v>
      </c>
      <c r="C400" s="8">
        <v>43707</v>
      </c>
      <c r="D400" s="7" t="s">
        <v>21</v>
      </c>
      <c r="E400" s="7" t="s">
        <v>2368</v>
      </c>
      <c r="F400" s="7" t="s">
        <v>3</v>
      </c>
      <c r="G400" s="7" t="s">
        <v>4</v>
      </c>
      <c r="H400" s="7" t="s">
        <v>632</v>
      </c>
      <c r="I400" s="8">
        <v>43705</v>
      </c>
      <c r="J400" s="9">
        <v>0.6881828703703704</v>
      </c>
      <c r="K400" s="8">
        <v>43707</v>
      </c>
      <c r="L400" s="7" t="s">
        <v>2256</v>
      </c>
      <c r="M400" s="7"/>
      <c r="N400" s="7" t="s">
        <v>110</v>
      </c>
      <c r="O400" s="7" t="s">
        <v>111</v>
      </c>
      <c r="P400" s="7" t="s">
        <v>2355</v>
      </c>
      <c r="Q400" s="7" t="s">
        <v>4</v>
      </c>
      <c r="R400" s="7" t="s">
        <v>4</v>
      </c>
      <c r="S400" s="7" t="s">
        <v>10</v>
      </c>
      <c r="T400" s="7"/>
      <c r="U400" s="7"/>
      <c r="V400" s="7"/>
      <c r="W400" s="7" t="s">
        <v>2258</v>
      </c>
      <c r="X400" s="18">
        <v>55000</v>
      </c>
      <c r="Y400" s="18">
        <v>55000</v>
      </c>
      <c r="Z400" s="7" t="s">
        <v>2357</v>
      </c>
      <c r="AA400" s="7" t="s">
        <v>2358</v>
      </c>
      <c r="AB400" s="7" t="s">
        <v>2359</v>
      </c>
      <c r="AC400" s="7" t="s">
        <v>2360</v>
      </c>
      <c r="AD400" s="7" t="s">
        <v>17</v>
      </c>
      <c r="AE400" s="7" t="s">
        <v>18</v>
      </c>
      <c r="AF400" s="7" t="s">
        <v>19</v>
      </c>
      <c r="AG400" s="7" t="s">
        <v>19</v>
      </c>
      <c r="AH400" s="18">
        <v>170706.9</v>
      </c>
    </row>
    <row r="401" spans="2:34" ht="15">
      <c r="B401" s="1" t="s">
        <v>0</v>
      </c>
      <c r="C401" s="2">
        <v>43710</v>
      </c>
      <c r="D401" s="1" t="s">
        <v>1</v>
      </c>
      <c r="E401" s="1" t="s">
        <v>2369</v>
      </c>
      <c r="F401" s="1" t="s">
        <v>3</v>
      </c>
      <c r="G401" s="1" t="s">
        <v>4</v>
      </c>
      <c r="H401" s="1" t="s">
        <v>119</v>
      </c>
      <c r="I401" s="2"/>
      <c r="J401" s="3">
        <v>0.49144675925925924</v>
      </c>
      <c r="K401" s="2">
        <v>43533</v>
      </c>
      <c r="L401" s="1" t="s">
        <v>2256</v>
      </c>
      <c r="M401" s="1"/>
      <c r="N401" s="1" t="s">
        <v>450</v>
      </c>
      <c r="O401" s="1" t="s">
        <v>451</v>
      </c>
      <c r="P401" s="1" t="s">
        <v>2315</v>
      </c>
      <c r="Q401" s="1" t="s">
        <v>4</v>
      </c>
      <c r="R401" s="1" t="s">
        <v>4</v>
      </c>
      <c r="S401" s="1" t="s">
        <v>10</v>
      </c>
      <c r="T401" s="1"/>
      <c r="U401" s="1"/>
      <c r="V401" s="1"/>
      <c r="W401" s="1" t="s">
        <v>2258</v>
      </c>
      <c r="X401" s="16">
        <v>3</v>
      </c>
      <c r="Y401" s="16">
        <v>3</v>
      </c>
      <c r="Z401" s="1" t="s">
        <v>2370</v>
      </c>
      <c r="AA401" s="1" t="s">
        <v>2371</v>
      </c>
      <c r="AB401" s="1" t="s">
        <v>2372</v>
      </c>
      <c r="AC401" s="1" t="s">
        <v>1112</v>
      </c>
      <c r="AD401" s="1" t="s">
        <v>17</v>
      </c>
      <c r="AE401" s="1" t="s">
        <v>17</v>
      </c>
      <c r="AF401" s="1" t="s">
        <v>19</v>
      </c>
      <c r="AG401" s="1" t="s">
        <v>19</v>
      </c>
      <c r="AH401" s="16">
        <v>17.81</v>
      </c>
    </row>
    <row r="402" spans="2:34" ht="15">
      <c r="B402" s="4" t="s">
        <v>0</v>
      </c>
      <c r="C402" s="5">
        <v>43712</v>
      </c>
      <c r="D402" s="4" t="s">
        <v>1</v>
      </c>
      <c r="E402" s="4" t="s">
        <v>2373</v>
      </c>
      <c r="F402" s="4" t="s">
        <v>3</v>
      </c>
      <c r="G402" s="4" t="s">
        <v>4</v>
      </c>
      <c r="H402" s="4" t="s">
        <v>914</v>
      </c>
      <c r="I402" s="5">
        <v>43711</v>
      </c>
      <c r="J402" s="6">
        <v>0.5238078703703704</v>
      </c>
      <c r="K402" s="5">
        <v>43713</v>
      </c>
      <c r="L402" s="4" t="s">
        <v>2256</v>
      </c>
      <c r="M402" s="4"/>
      <c r="N402" s="4" t="s">
        <v>156</v>
      </c>
      <c r="O402" s="4" t="s">
        <v>157</v>
      </c>
      <c r="P402" s="4" t="s">
        <v>2325</v>
      </c>
      <c r="Q402" s="4" t="s">
        <v>4</v>
      </c>
      <c r="R402" s="4" t="s">
        <v>4</v>
      </c>
      <c r="S402" s="4" t="s">
        <v>10</v>
      </c>
      <c r="T402" s="4"/>
      <c r="U402" s="4"/>
      <c r="V402" s="4"/>
      <c r="W402" s="4" t="s">
        <v>1963</v>
      </c>
      <c r="X402" s="17">
        <v>30000</v>
      </c>
      <c r="Y402" s="17">
        <v>30000</v>
      </c>
      <c r="Z402" s="4" t="s">
        <v>2375</v>
      </c>
      <c r="AA402" s="4" t="s">
        <v>2376</v>
      </c>
      <c r="AB402" s="4" t="s">
        <v>2377</v>
      </c>
      <c r="AC402" s="4" t="s">
        <v>2378</v>
      </c>
      <c r="AD402" s="4" t="s">
        <v>17</v>
      </c>
      <c r="AE402" s="4" t="s">
        <v>18</v>
      </c>
      <c r="AF402" s="4" t="s">
        <v>19</v>
      </c>
      <c r="AG402" s="4" t="s">
        <v>19</v>
      </c>
      <c r="AH402" s="17">
        <v>61350.45</v>
      </c>
    </row>
    <row r="403" spans="2:34" ht="15">
      <c r="B403" s="1" t="s">
        <v>0</v>
      </c>
      <c r="C403" s="2">
        <v>43712</v>
      </c>
      <c r="D403" s="1" t="s">
        <v>1</v>
      </c>
      <c r="E403" s="1" t="s">
        <v>2379</v>
      </c>
      <c r="F403" s="1" t="s">
        <v>3</v>
      </c>
      <c r="G403" s="1" t="s">
        <v>4</v>
      </c>
      <c r="H403" s="1" t="s">
        <v>119</v>
      </c>
      <c r="I403" s="2">
        <v>43711</v>
      </c>
      <c r="J403" s="3">
        <v>0.6399074074074074</v>
      </c>
      <c r="K403" s="2">
        <v>43713</v>
      </c>
      <c r="L403" s="1" t="s">
        <v>2256</v>
      </c>
      <c r="M403" s="1"/>
      <c r="N403" s="1" t="s">
        <v>204</v>
      </c>
      <c r="O403" s="1" t="s">
        <v>205</v>
      </c>
      <c r="P403" s="1" t="s">
        <v>2380</v>
      </c>
      <c r="Q403" s="1" t="s">
        <v>4</v>
      </c>
      <c r="R403" s="1" t="s">
        <v>4</v>
      </c>
      <c r="S403" s="1" t="s">
        <v>10</v>
      </c>
      <c r="T403" s="1"/>
      <c r="U403" s="1"/>
      <c r="V403" s="1"/>
      <c r="W403" s="1" t="s">
        <v>1963</v>
      </c>
      <c r="X403" s="16">
        <v>69312</v>
      </c>
      <c r="Y403" s="16">
        <v>69312</v>
      </c>
      <c r="Z403" s="1" t="s">
        <v>2382</v>
      </c>
      <c r="AA403" s="1" t="s">
        <v>2383</v>
      </c>
      <c r="AB403" s="1" t="s">
        <v>2384</v>
      </c>
      <c r="AC403" s="1" t="s">
        <v>2385</v>
      </c>
      <c r="AD403" s="1" t="s">
        <v>17</v>
      </c>
      <c r="AE403" s="1" t="s">
        <v>2386</v>
      </c>
      <c r="AF403" s="1" t="s">
        <v>19</v>
      </c>
      <c r="AG403" s="1" t="s">
        <v>19</v>
      </c>
      <c r="AH403" s="16">
        <v>151113.4</v>
      </c>
    </row>
    <row r="404" spans="2:34" ht="15">
      <c r="B404" s="4" t="s">
        <v>153</v>
      </c>
      <c r="C404" s="5">
        <v>43712</v>
      </c>
      <c r="D404" s="4" t="s">
        <v>154</v>
      </c>
      <c r="E404" s="4" t="s">
        <v>2387</v>
      </c>
      <c r="F404" s="4" t="s">
        <v>3</v>
      </c>
      <c r="G404" s="4" t="s">
        <v>4</v>
      </c>
      <c r="H404" s="4" t="s">
        <v>109</v>
      </c>
      <c r="I404" s="5">
        <v>43711</v>
      </c>
      <c r="J404" s="6">
        <v>0.46797453703703706</v>
      </c>
      <c r="K404" s="5">
        <v>43713</v>
      </c>
      <c r="L404" s="4" t="s">
        <v>2256</v>
      </c>
      <c r="M404" s="4"/>
      <c r="N404" s="4" t="s">
        <v>232</v>
      </c>
      <c r="O404" s="4" t="s">
        <v>233</v>
      </c>
      <c r="P404" s="4" t="s">
        <v>2389</v>
      </c>
      <c r="Q404" s="4" t="s">
        <v>4</v>
      </c>
      <c r="R404" s="4" t="s">
        <v>4</v>
      </c>
      <c r="S404" s="4" t="s">
        <v>10</v>
      </c>
      <c r="T404" s="4"/>
      <c r="U404" s="4"/>
      <c r="V404" s="4"/>
      <c r="W404" s="4" t="s">
        <v>2258</v>
      </c>
      <c r="X404" s="17">
        <v>2000</v>
      </c>
      <c r="Y404" s="17">
        <v>2000</v>
      </c>
      <c r="Z404" s="4" t="s">
        <v>2390</v>
      </c>
      <c r="AA404" s="4" t="s">
        <v>2391</v>
      </c>
      <c r="AB404" s="4" t="s">
        <v>2392</v>
      </c>
      <c r="AC404" s="4" t="s">
        <v>2393</v>
      </c>
      <c r="AD404" s="4" t="s">
        <v>17</v>
      </c>
      <c r="AE404" s="4" t="s">
        <v>18</v>
      </c>
      <c r="AF404" s="4" t="s">
        <v>19</v>
      </c>
      <c r="AG404" s="4" t="s">
        <v>19</v>
      </c>
      <c r="AH404" s="17">
        <v>17308.91</v>
      </c>
    </row>
    <row r="405" spans="2:34" ht="15">
      <c r="B405" s="1" t="s">
        <v>0</v>
      </c>
      <c r="C405" s="2">
        <v>43713</v>
      </c>
      <c r="D405" s="1" t="s">
        <v>1</v>
      </c>
      <c r="E405" s="1" t="s">
        <v>2394</v>
      </c>
      <c r="F405" s="1" t="s">
        <v>3</v>
      </c>
      <c r="G405" s="1" t="s">
        <v>4</v>
      </c>
      <c r="H405" s="1" t="s">
        <v>119</v>
      </c>
      <c r="I405" s="2">
        <v>43712</v>
      </c>
      <c r="J405" s="3">
        <v>0.611712962962963</v>
      </c>
      <c r="K405" s="2">
        <v>43714</v>
      </c>
      <c r="L405" s="1" t="s">
        <v>2256</v>
      </c>
      <c r="M405" s="1"/>
      <c r="N405" s="1" t="s">
        <v>278</v>
      </c>
      <c r="O405" s="1" t="s">
        <v>279</v>
      </c>
      <c r="P405" s="1" t="s">
        <v>2395</v>
      </c>
      <c r="Q405" s="1" t="s">
        <v>4</v>
      </c>
      <c r="R405" s="1" t="s">
        <v>4</v>
      </c>
      <c r="S405" s="1" t="s">
        <v>10</v>
      </c>
      <c r="T405" s="1"/>
      <c r="U405" s="1"/>
      <c r="V405" s="1"/>
      <c r="W405" s="1" t="s">
        <v>1963</v>
      </c>
      <c r="X405" s="16">
        <v>61478</v>
      </c>
      <c r="Y405" s="16">
        <v>61478</v>
      </c>
      <c r="Z405" s="1" t="s">
        <v>2397</v>
      </c>
      <c r="AA405" s="1" t="s">
        <v>2398</v>
      </c>
      <c r="AB405" s="1" t="s">
        <v>2399</v>
      </c>
      <c r="AC405" s="1" t="s">
        <v>2400</v>
      </c>
      <c r="AD405" s="1" t="s">
        <v>17</v>
      </c>
      <c r="AE405" s="1" t="s">
        <v>2401</v>
      </c>
      <c r="AF405" s="1" t="s">
        <v>19</v>
      </c>
      <c r="AG405" s="1" t="s">
        <v>19</v>
      </c>
      <c r="AH405" s="16">
        <v>148953.96</v>
      </c>
    </row>
    <row r="406" spans="2:34" ht="15">
      <c r="B406" s="4" t="s">
        <v>153</v>
      </c>
      <c r="C406" s="5">
        <v>43714</v>
      </c>
      <c r="D406" s="4" t="s">
        <v>154</v>
      </c>
      <c r="E406" s="4" t="s">
        <v>2402</v>
      </c>
      <c r="F406" s="4" t="s">
        <v>3</v>
      </c>
      <c r="G406" s="4" t="s">
        <v>4</v>
      </c>
      <c r="H406" s="4" t="s">
        <v>90</v>
      </c>
      <c r="I406" s="5">
        <v>43714</v>
      </c>
      <c r="J406" s="6">
        <v>0.38761574074074073</v>
      </c>
      <c r="K406" s="5">
        <v>43718</v>
      </c>
      <c r="L406" s="4" t="s">
        <v>2256</v>
      </c>
      <c r="M406" s="4"/>
      <c r="N406" s="4" t="s">
        <v>260</v>
      </c>
      <c r="O406" s="4" t="s">
        <v>261</v>
      </c>
      <c r="P406" s="4" t="s">
        <v>2403</v>
      </c>
      <c r="Q406" s="4" t="s">
        <v>4</v>
      </c>
      <c r="R406" s="4" t="s">
        <v>4</v>
      </c>
      <c r="S406" s="4" t="s">
        <v>10</v>
      </c>
      <c r="T406" s="4"/>
      <c r="U406" s="4"/>
      <c r="V406" s="4"/>
      <c r="W406" s="4" t="s">
        <v>2258</v>
      </c>
      <c r="X406" s="17">
        <v>3100</v>
      </c>
      <c r="Y406" s="17">
        <v>3100</v>
      </c>
      <c r="Z406" s="4" t="s">
        <v>2405</v>
      </c>
      <c r="AA406" s="4" t="s">
        <v>2406</v>
      </c>
      <c r="AB406" s="4" t="s">
        <v>2407</v>
      </c>
      <c r="AC406" s="4" t="s">
        <v>2408</v>
      </c>
      <c r="AD406" s="4" t="s">
        <v>17</v>
      </c>
      <c r="AE406" s="4" t="s">
        <v>18</v>
      </c>
      <c r="AF406" s="4" t="s">
        <v>19</v>
      </c>
      <c r="AG406" s="4" t="s">
        <v>19</v>
      </c>
      <c r="AH406" s="17">
        <v>18066.79</v>
      </c>
    </row>
    <row r="407" spans="2:34" ht="15">
      <c r="B407" s="1" t="s">
        <v>20</v>
      </c>
      <c r="C407" s="2">
        <v>43717</v>
      </c>
      <c r="D407" s="1" t="s">
        <v>21</v>
      </c>
      <c r="E407" s="1"/>
      <c r="F407" s="1" t="s">
        <v>3</v>
      </c>
      <c r="G407" s="1" t="s">
        <v>4</v>
      </c>
      <c r="H407" s="1" t="s">
        <v>119</v>
      </c>
      <c r="I407" s="2">
        <v>43714</v>
      </c>
      <c r="J407" s="3">
        <v>0.5323032407407408</v>
      </c>
      <c r="K407" s="2">
        <v>43718</v>
      </c>
      <c r="L407" s="1" t="s">
        <v>2256</v>
      </c>
      <c r="M407" s="1"/>
      <c r="N407" s="1" t="s">
        <v>288</v>
      </c>
      <c r="O407" s="1" t="s">
        <v>289</v>
      </c>
      <c r="P407" s="1" t="s">
        <v>2274</v>
      </c>
      <c r="Q407" s="1" t="s">
        <v>4</v>
      </c>
      <c r="R407" s="1" t="s">
        <v>4</v>
      </c>
      <c r="S407" s="1" t="s">
        <v>10</v>
      </c>
      <c r="T407" s="1"/>
      <c r="U407" s="1"/>
      <c r="V407" s="1"/>
      <c r="W407" s="1" t="s">
        <v>2258</v>
      </c>
      <c r="X407" s="16">
        <v>44230</v>
      </c>
      <c r="Y407" s="16">
        <v>44230</v>
      </c>
      <c r="Z407" s="1" t="s">
        <v>2410</v>
      </c>
      <c r="AA407" s="1" t="s">
        <v>2411</v>
      </c>
      <c r="AB407" s="1" t="s">
        <v>2412</v>
      </c>
      <c r="AC407" s="1" t="s">
        <v>2413</v>
      </c>
      <c r="AD407" s="1" t="s">
        <v>17</v>
      </c>
      <c r="AE407" s="1" t="s">
        <v>18</v>
      </c>
      <c r="AF407" s="1" t="s">
        <v>19</v>
      </c>
      <c r="AG407" s="1" t="s">
        <v>19</v>
      </c>
      <c r="AH407" s="16">
        <v>150080.236</v>
      </c>
    </row>
    <row r="408" spans="2:34" ht="15">
      <c r="B408" s="4" t="s">
        <v>20</v>
      </c>
      <c r="C408" s="5">
        <v>43717</v>
      </c>
      <c r="D408" s="4" t="s">
        <v>21</v>
      </c>
      <c r="E408" s="4"/>
      <c r="F408" s="4" t="s">
        <v>3</v>
      </c>
      <c r="G408" s="4" t="s">
        <v>4</v>
      </c>
      <c r="H408" s="4" t="s">
        <v>632</v>
      </c>
      <c r="I408" s="5">
        <v>43714</v>
      </c>
      <c r="J408" s="6">
        <v>0.6766550925925926</v>
      </c>
      <c r="K408" s="5">
        <v>43718</v>
      </c>
      <c r="L408" s="4" t="s">
        <v>2256</v>
      </c>
      <c r="M408" s="4"/>
      <c r="N408" s="4" t="s">
        <v>508</v>
      </c>
      <c r="O408" s="4" t="s">
        <v>509</v>
      </c>
      <c r="P408" s="4" t="s">
        <v>2414</v>
      </c>
      <c r="Q408" s="4" t="s">
        <v>4</v>
      </c>
      <c r="R408" s="4" t="s">
        <v>4</v>
      </c>
      <c r="S408" s="4" t="s">
        <v>10</v>
      </c>
      <c r="T408" s="4"/>
      <c r="U408" s="4"/>
      <c r="V408" s="4"/>
      <c r="W408" s="4" t="s">
        <v>2258</v>
      </c>
      <c r="X408" s="17">
        <v>77333</v>
      </c>
      <c r="Y408" s="17">
        <v>77333</v>
      </c>
      <c r="Z408" s="4" t="s">
        <v>2416</v>
      </c>
      <c r="AA408" s="4" t="s">
        <v>2417</v>
      </c>
      <c r="AB408" s="4" t="s">
        <v>2418</v>
      </c>
      <c r="AC408" s="4" t="s">
        <v>2419</v>
      </c>
      <c r="AD408" s="4" t="s">
        <v>17</v>
      </c>
      <c r="AE408" s="4" t="s">
        <v>18</v>
      </c>
      <c r="AF408" s="4" t="s">
        <v>19</v>
      </c>
      <c r="AG408" s="4" t="s">
        <v>19</v>
      </c>
      <c r="AH408" s="17">
        <v>256737.544</v>
      </c>
    </row>
    <row r="409" spans="2:34" ht="15">
      <c r="B409" s="1" t="s">
        <v>0</v>
      </c>
      <c r="C409" s="2">
        <v>43717</v>
      </c>
      <c r="D409" s="1" t="s">
        <v>1</v>
      </c>
      <c r="E409" s="1"/>
      <c r="F409" s="1" t="s">
        <v>3</v>
      </c>
      <c r="G409" s="1" t="s">
        <v>4</v>
      </c>
      <c r="H409" s="1" t="s">
        <v>119</v>
      </c>
      <c r="I409" s="2">
        <v>43714</v>
      </c>
      <c r="J409" s="3">
        <v>0.5701273148148148</v>
      </c>
      <c r="K409" s="2">
        <v>43718</v>
      </c>
      <c r="L409" s="1" t="s">
        <v>2256</v>
      </c>
      <c r="M409" s="1"/>
      <c r="N409" s="1" t="s">
        <v>450</v>
      </c>
      <c r="O409" s="1" t="s">
        <v>451</v>
      </c>
      <c r="P409" s="1" t="s">
        <v>2315</v>
      </c>
      <c r="Q409" s="1" t="s">
        <v>4</v>
      </c>
      <c r="R409" s="1" t="s">
        <v>4</v>
      </c>
      <c r="S409" s="1" t="s">
        <v>10</v>
      </c>
      <c r="T409" s="1"/>
      <c r="U409" s="1"/>
      <c r="V409" s="1"/>
      <c r="W409" s="1" t="s">
        <v>2258</v>
      </c>
      <c r="X409" s="16">
        <v>10150</v>
      </c>
      <c r="Y409" s="16">
        <v>10150</v>
      </c>
      <c r="Z409" s="1" t="s">
        <v>2421</v>
      </c>
      <c r="AA409" s="1" t="s">
        <v>2422</v>
      </c>
      <c r="AB409" s="1" t="s">
        <v>2423</v>
      </c>
      <c r="AC409" s="1" t="s">
        <v>2424</v>
      </c>
      <c r="AD409" s="1" t="s">
        <v>17</v>
      </c>
      <c r="AE409" s="1" t="s">
        <v>18</v>
      </c>
      <c r="AF409" s="1" t="s">
        <v>19</v>
      </c>
      <c r="AG409" s="1" t="s">
        <v>19</v>
      </c>
      <c r="AH409" s="16">
        <v>59055.151</v>
      </c>
    </row>
    <row r="410" spans="2:34" ht="15">
      <c r="B410" s="4" t="s">
        <v>20</v>
      </c>
      <c r="C410" s="5">
        <v>43718</v>
      </c>
      <c r="D410" s="4" t="s">
        <v>21</v>
      </c>
      <c r="E410" s="4" t="s">
        <v>2425</v>
      </c>
      <c r="F410" s="4" t="s">
        <v>3</v>
      </c>
      <c r="G410" s="4" t="s">
        <v>4</v>
      </c>
      <c r="H410" s="4" t="s">
        <v>23</v>
      </c>
      <c r="I410" s="5">
        <v>43718</v>
      </c>
      <c r="J410" s="6">
        <v>0.39939814814814817</v>
      </c>
      <c r="K410" s="5">
        <v>43720</v>
      </c>
      <c r="L410" s="4" t="s">
        <v>2256</v>
      </c>
      <c r="M410" s="4"/>
      <c r="N410" s="4" t="s">
        <v>2353</v>
      </c>
      <c r="O410" s="4" t="s">
        <v>2309</v>
      </c>
      <c r="P410" s="4" t="s">
        <v>2426</v>
      </c>
      <c r="Q410" s="4" t="s">
        <v>4</v>
      </c>
      <c r="R410" s="4" t="s">
        <v>4</v>
      </c>
      <c r="S410" s="4" t="s">
        <v>10</v>
      </c>
      <c r="T410" s="4"/>
      <c r="U410" s="4"/>
      <c r="V410" s="4"/>
      <c r="W410" s="4" t="s">
        <v>2258</v>
      </c>
      <c r="X410" s="17">
        <v>97945</v>
      </c>
      <c r="Y410" s="17">
        <v>97945</v>
      </c>
      <c r="Z410" s="4" t="s">
        <v>2428</v>
      </c>
      <c r="AA410" s="4" t="s">
        <v>2429</v>
      </c>
      <c r="AB410" s="4" t="s">
        <v>2430</v>
      </c>
      <c r="AC410" s="4" t="s">
        <v>2431</v>
      </c>
      <c r="AD410" s="4" t="s">
        <v>17</v>
      </c>
      <c r="AE410" s="4" t="s">
        <v>18</v>
      </c>
      <c r="AF410" s="4" t="s">
        <v>19</v>
      </c>
      <c r="AG410" s="4" t="s">
        <v>19</v>
      </c>
      <c r="AH410" s="17">
        <v>65490.9</v>
      </c>
    </row>
    <row r="411" spans="2:34" ht="15">
      <c r="B411" s="1" t="s">
        <v>153</v>
      </c>
      <c r="C411" s="2">
        <v>43718</v>
      </c>
      <c r="D411" s="1" t="s">
        <v>154</v>
      </c>
      <c r="E411" s="1" t="s">
        <v>2432</v>
      </c>
      <c r="F411" s="1" t="s">
        <v>3</v>
      </c>
      <c r="G411" s="1" t="s">
        <v>4</v>
      </c>
      <c r="H411" s="1" t="s">
        <v>119</v>
      </c>
      <c r="I411" s="2">
        <v>43717</v>
      </c>
      <c r="J411" s="3">
        <v>0.6730787037037037</v>
      </c>
      <c r="K411" s="2">
        <v>43719</v>
      </c>
      <c r="L411" s="1" t="s">
        <v>2256</v>
      </c>
      <c r="M411" s="1"/>
      <c r="N411" s="1" t="s">
        <v>204</v>
      </c>
      <c r="O411" s="1" t="s">
        <v>205</v>
      </c>
      <c r="P411" s="1" t="s">
        <v>2380</v>
      </c>
      <c r="Q411" s="1" t="s">
        <v>4</v>
      </c>
      <c r="R411" s="1" t="s">
        <v>4</v>
      </c>
      <c r="S411" s="1" t="s">
        <v>10</v>
      </c>
      <c r="T411" s="1"/>
      <c r="U411" s="1"/>
      <c r="V411" s="1"/>
      <c r="W411" s="1" t="s">
        <v>1963</v>
      </c>
      <c r="X411" s="16">
        <v>7700</v>
      </c>
      <c r="Y411" s="16">
        <v>7700</v>
      </c>
      <c r="Z411" s="1" t="s">
        <v>512</v>
      </c>
      <c r="AA411" s="1" t="s">
        <v>2433</v>
      </c>
      <c r="AB411" s="1" t="s">
        <v>2434</v>
      </c>
      <c r="AC411" s="1" t="s">
        <v>2435</v>
      </c>
      <c r="AD411" s="1" t="s">
        <v>17</v>
      </c>
      <c r="AE411" s="1" t="s">
        <v>2436</v>
      </c>
      <c r="AF411" s="1" t="s">
        <v>19</v>
      </c>
      <c r="AG411" s="1" t="s">
        <v>19</v>
      </c>
      <c r="AH411" s="16">
        <v>17059.75</v>
      </c>
    </row>
    <row r="412" spans="2:34" ht="15">
      <c r="B412" s="4" t="s">
        <v>153</v>
      </c>
      <c r="C412" s="5">
        <v>43718</v>
      </c>
      <c r="D412" s="4" t="s">
        <v>154</v>
      </c>
      <c r="E412" s="4" t="s">
        <v>2437</v>
      </c>
      <c r="F412" s="4" t="s">
        <v>3</v>
      </c>
      <c r="G412" s="4" t="s">
        <v>4</v>
      </c>
      <c r="H412" s="4" t="s">
        <v>23</v>
      </c>
      <c r="I412" s="5">
        <v>43718</v>
      </c>
      <c r="J412" s="6">
        <v>0.3994097222222222</v>
      </c>
      <c r="K412" s="5">
        <v>43720</v>
      </c>
      <c r="L412" s="4" t="s">
        <v>2256</v>
      </c>
      <c r="M412" s="4"/>
      <c r="N412" s="4" t="s">
        <v>2353</v>
      </c>
      <c r="O412" s="4" t="s">
        <v>2309</v>
      </c>
      <c r="P412" s="4" t="s">
        <v>2426</v>
      </c>
      <c r="Q412" s="4" t="s">
        <v>4</v>
      </c>
      <c r="R412" s="4" t="s">
        <v>4</v>
      </c>
      <c r="S412" s="4" t="s">
        <v>10</v>
      </c>
      <c r="T412" s="4"/>
      <c r="U412" s="4"/>
      <c r="V412" s="4"/>
      <c r="W412" s="4" t="s">
        <v>2258</v>
      </c>
      <c r="X412" s="17">
        <v>2055</v>
      </c>
      <c r="Y412" s="17">
        <v>2055</v>
      </c>
      <c r="Z412" s="4" t="s">
        <v>2428</v>
      </c>
      <c r="AA412" s="4" t="s">
        <v>2439</v>
      </c>
      <c r="AB412" s="4" t="s">
        <v>2440</v>
      </c>
      <c r="AC412" s="4" t="s">
        <v>347</v>
      </c>
      <c r="AD412" s="4" t="s">
        <v>17</v>
      </c>
      <c r="AE412" s="4" t="s">
        <v>17</v>
      </c>
      <c r="AF412" s="4" t="s">
        <v>19</v>
      </c>
      <c r="AG412" s="4" t="s">
        <v>19</v>
      </c>
      <c r="AH412" s="17">
        <v>1374.1</v>
      </c>
    </row>
    <row r="413" spans="2:34" ht="15">
      <c r="B413" s="1" t="s">
        <v>20</v>
      </c>
      <c r="C413" s="2">
        <v>43720</v>
      </c>
      <c r="D413" s="1" t="s">
        <v>21</v>
      </c>
      <c r="E413" s="1" t="s">
        <v>2441</v>
      </c>
      <c r="F413" s="1" t="s">
        <v>3</v>
      </c>
      <c r="G413" s="1" t="s">
        <v>4</v>
      </c>
      <c r="H413" s="1" t="s">
        <v>632</v>
      </c>
      <c r="I413" s="2">
        <v>43719</v>
      </c>
      <c r="J413" s="3">
        <v>0.6768402777777778</v>
      </c>
      <c r="K413" s="2">
        <v>43721</v>
      </c>
      <c r="L413" s="1" t="s">
        <v>2256</v>
      </c>
      <c r="M413" s="1"/>
      <c r="N413" s="1" t="s">
        <v>2353</v>
      </c>
      <c r="O413" s="1" t="s">
        <v>2309</v>
      </c>
      <c r="P413" s="1" t="s">
        <v>2426</v>
      </c>
      <c r="Q413" s="1" t="s">
        <v>4</v>
      </c>
      <c r="R413" s="1" t="s">
        <v>4</v>
      </c>
      <c r="S413" s="1" t="s">
        <v>10</v>
      </c>
      <c r="T413" s="1"/>
      <c r="U413" s="1"/>
      <c r="V413" s="1"/>
      <c r="W413" s="1" t="s">
        <v>2258</v>
      </c>
      <c r="X413" s="16">
        <v>97945</v>
      </c>
      <c r="Y413" s="16">
        <v>97945</v>
      </c>
      <c r="Z413" s="1" t="s">
        <v>2442</v>
      </c>
      <c r="AA413" s="1" t="s">
        <v>2443</v>
      </c>
      <c r="AB413" s="1" t="s">
        <v>2444</v>
      </c>
      <c r="AC413" s="1" t="s">
        <v>2445</v>
      </c>
      <c r="AD413" s="1" t="s">
        <v>17</v>
      </c>
      <c r="AE413" s="1" t="s">
        <v>17</v>
      </c>
      <c r="AF413" s="1" t="s">
        <v>19</v>
      </c>
      <c r="AG413" s="1" t="s">
        <v>19</v>
      </c>
      <c r="AH413" s="16">
        <v>65174.21909</v>
      </c>
    </row>
    <row r="414" spans="2:34" ht="15">
      <c r="B414" s="4" t="s">
        <v>153</v>
      </c>
      <c r="C414" s="5">
        <v>43720</v>
      </c>
      <c r="D414" s="4" t="s">
        <v>154</v>
      </c>
      <c r="E414" s="4" t="s">
        <v>2446</v>
      </c>
      <c r="F414" s="4" t="s">
        <v>3</v>
      </c>
      <c r="G414" s="4" t="s">
        <v>4</v>
      </c>
      <c r="H414" s="4" t="s">
        <v>632</v>
      </c>
      <c r="I414" s="5">
        <v>43719</v>
      </c>
      <c r="J414" s="6">
        <v>0.6768402777777778</v>
      </c>
      <c r="K414" s="5">
        <v>43721</v>
      </c>
      <c r="L414" s="4" t="s">
        <v>2256</v>
      </c>
      <c r="M414" s="4"/>
      <c r="N414" s="4" t="s">
        <v>2353</v>
      </c>
      <c r="O414" s="4" t="s">
        <v>2309</v>
      </c>
      <c r="P414" s="4" t="s">
        <v>2426</v>
      </c>
      <c r="Q414" s="4" t="s">
        <v>4</v>
      </c>
      <c r="R414" s="4" t="s">
        <v>4</v>
      </c>
      <c r="S414" s="4" t="s">
        <v>10</v>
      </c>
      <c r="T414" s="4"/>
      <c r="U414" s="4"/>
      <c r="V414" s="4"/>
      <c r="W414" s="4" t="s">
        <v>2258</v>
      </c>
      <c r="X414" s="17">
        <v>2055</v>
      </c>
      <c r="Y414" s="17">
        <v>2055</v>
      </c>
      <c r="Z414" s="4" t="s">
        <v>2442</v>
      </c>
      <c r="AA414" s="4" t="s">
        <v>2447</v>
      </c>
      <c r="AB414" s="4" t="s">
        <v>2448</v>
      </c>
      <c r="AC414" s="4" t="s">
        <v>2449</v>
      </c>
      <c r="AD414" s="4" t="s">
        <v>17</v>
      </c>
      <c r="AE414" s="4" t="s">
        <v>17</v>
      </c>
      <c r="AF414" s="4" t="s">
        <v>19</v>
      </c>
      <c r="AG414" s="4" t="s">
        <v>19</v>
      </c>
      <c r="AH414" s="17">
        <v>1367.430907</v>
      </c>
    </row>
    <row r="415" spans="2:34" ht="15">
      <c r="B415" s="4" t="s">
        <v>20</v>
      </c>
      <c r="C415" s="5">
        <v>43721</v>
      </c>
      <c r="D415" s="4" t="s">
        <v>21</v>
      </c>
      <c r="E415" s="4" t="s">
        <v>2450</v>
      </c>
      <c r="F415" s="4" t="s">
        <v>3</v>
      </c>
      <c r="G415" s="4" t="s">
        <v>4</v>
      </c>
      <c r="H415" s="4" t="s">
        <v>632</v>
      </c>
      <c r="I415" s="5">
        <v>43719</v>
      </c>
      <c r="J415" s="6">
        <v>0.6768402777777778</v>
      </c>
      <c r="K415" s="5">
        <v>43721</v>
      </c>
      <c r="L415" s="4" t="s">
        <v>2256</v>
      </c>
      <c r="M415" s="4"/>
      <c r="N415" s="4" t="s">
        <v>2353</v>
      </c>
      <c r="O415" s="4" t="s">
        <v>2309</v>
      </c>
      <c r="P415" s="4" t="s">
        <v>2426</v>
      </c>
      <c r="Q415" s="4" t="s">
        <v>4</v>
      </c>
      <c r="R415" s="4" t="s">
        <v>4</v>
      </c>
      <c r="S415" s="4" t="s">
        <v>10</v>
      </c>
      <c r="T415" s="4"/>
      <c r="U415" s="4"/>
      <c r="V415" s="4"/>
      <c r="W415" s="4" t="s">
        <v>2258</v>
      </c>
      <c r="X415" s="17">
        <v>97945</v>
      </c>
      <c r="Y415" s="17">
        <v>97945</v>
      </c>
      <c r="Z415" s="4" t="s">
        <v>2442</v>
      </c>
      <c r="AA415" s="4" t="s">
        <v>2443</v>
      </c>
      <c r="AB415" s="4" t="s">
        <v>2451</v>
      </c>
      <c r="AC415" s="4" t="s">
        <v>2445</v>
      </c>
      <c r="AD415" s="4" t="s">
        <v>17</v>
      </c>
      <c r="AE415" s="4" t="s">
        <v>18</v>
      </c>
      <c r="AF415" s="4" t="s">
        <v>19</v>
      </c>
      <c r="AG415" s="4" t="s">
        <v>19</v>
      </c>
      <c r="AH415" s="17">
        <v>65173.21909</v>
      </c>
    </row>
    <row r="416" spans="2:34" ht="15">
      <c r="B416" s="1" t="s">
        <v>20</v>
      </c>
      <c r="C416" s="2">
        <v>43724</v>
      </c>
      <c r="D416" s="1" t="s">
        <v>21</v>
      </c>
      <c r="E416" s="1" t="s">
        <v>2452</v>
      </c>
      <c r="F416" s="1" t="s">
        <v>3</v>
      </c>
      <c r="G416" s="1" t="s">
        <v>4</v>
      </c>
      <c r="H416" s="1" t="s">
        <v>119</v>
      </c>
      <c r="I416" s="2">
        <v>43721</v>
      </c>
      <c r="J416" s="3">
        <v>0.6910416666666667</v>
      </c>
      <c r="K416" s="2">
        <v>43725</v>
      </c>
      <c r="L416" s="1" t="s">
        <v>2256</v>
      </c>
      <c r="M416" s="1"/>
      <c r="N416" s="1" t="s">
        <v>977</v>
      </c>
      <c r="O416" s="1" t="s">
        <v>978</v>
      </c>
      <c r="P416" s="1" t="s">
        <v>2453</v>
      </c>
      <c r="Q416" s="1" t="s">
        <v>4</v>
      </c>
      <c r="R416" s="1" t="s">
        <v>4</v>
      </c>
      <c r="S416" s="1" t="s">
        <v>10</v>
      </c>
      <c r="T416" s="1"/>
      <c r="U416" s="1"/>
      <c r="V416" s="1"/>
      <c r="W416" s="1" t="s">
        <v>1963</v>
      </c>
      <c r="X416" s="16">
        <v>142288</v>
      </c>
      <c r="Y416" s="16">
        <v>142288</v>
      </c>
      <c r="Z416" s="1" t="s">
        <v>2455</v>
      </c>
      <c r="AA416" s="1" t="s">
        <v>2456</v>
      </c>
      <c r="AB416" s="1" t="s">
        <v>2457</v>
      </c>
      <c r="AC416" s="1" t="s">
        <v>2458</v>
      </c>
      <c r="AD416" s="1" t="s">
        <v>17</v>
      </c>
      <c r="AE416" s="1" t="s">
        <v>2459</v>
      </c>
      <c r="AF416" s="1" t="s">
        <v>19</v>
      </c>
      <c r="AG416" s="1" t="s">
        <v>19</v>
      </c>
      <c r="AH416" s="16">
        <v>361239.4997</v>
      </c>
    </row>
    <row r="417" spans="2:34" ht="15">
      <c r="B417" s="4" t="s">
        <v>0</v>
      </c>
      <c r="C417" s="5">
        <v>43724</v>
      </c>
      <c r="D417" s="4" t="s">
        <v>1</v>
      </c>
      <c r="E417" s="4" t="s">
        <v>2460</v>
      </c>
      <c r="F417" s="4" t="s">
        <v>3</v>
      </c>
      <c r="G417" s="4" t="s">
        <v>4</v>
      </c>
      <c r="H417" s="4" t="s">
        <v>914</v>
      </c>
      <c r="I417" s="5">
        <v>43721</v>
      </c>
      <c r="J417" s="6">
        <v>0.7343402777777778</v>
      </c>
      <c r="K417" s="5">
        <v>43725</v>
      </c>
      <c r="L417" s="4" t="s">
        <v>2256</v>
      </c>
      <c r="M417" s="4"/>
      <c r="N417" s="4" t="s">
        <v>156</v>
      </c>
      <c r="O417" s="4" t="s">
        <v>157</v>
      </c>
      <c r="P417" s="4" t="s">
        <v>2325</v>
      </c>
      <c r="Q417" s="4" t="s">
        <v>4</v>
      </c>
      <c r="R417" s="4" t="s">
        <v>4</v>
      </c>
      <c r="S417" s="4" t="s">
        <v>10</v>
      </c>
      <c r="T417" s="4"/>
      <c r="U417" s="4"/>
      <c r="V417" s="4"/>
      <c r="W417" s="4" t="s">
        <v>1963</v>
      </c>
      <c r="X417" s="17">
        <v>200638</v>
      </c>
      <c r="Y417" s="17">
        <v>200638</v>
      </c>
      <c r="Z417" s="4" t="s">
        <v>2462</v>
      </c>
      <c r="AA417" s="4" t="s">
        <v>2463</v>
      </c>
      <c r="AB417" s="4" t="s">
        <v>2464</v>
      </c>
      <c r="AC417" s="4" t="s">
        <v>2465</v>
      </c>
      <c r="AD417" s="4" t="s">
        <v>17</v>
      </c>
      <c r="AE417" s="4" t="s">
        <v>18</v>
      </c>
      <c r="AF417" s="4" t="s">
        <v>19</v>
      </c>
      <c r="AG417" s="4" t="s">
        <v>19</v>
      </c>
      <c r="AH417" s="17">
        <v>423747.5552</v>
      </c>
    </row>
    <row r="418" spans="2:34" ht="15">
      <c r="B418" s="1" t="s">
        <v>0</v>
      </c>
      <c r="C418" s="2">
        <v>43724</v>
      </c>
      <c r="D418" s="1" t="s">
        <v>1</v>
      </c>
      <c r="E418" s="1" t="s">
        <v>2466</v>
      </c>
      <c r="F418" s="1" t="s">
        <v>3</v>
      </c>
      <c r="G418" s="1" t="s">
        <v>4</v>
      </c>
      <c r="H418" s="1" t="s">
        <v>914</v>
      </c>
      <c r="I418" s="2">
        <v>43724</v>
      </c>
      <c r="J418" s="3">
        <v>0.40825231481481483</v>
      </c>
      <c r="K418" s="2">
        <v>43726</v>
      </c>
      <c r="L418" s="1" t="s">
        <v>2256</v>
      </c>
      <c r="M418" s="1"/>
      <c r="N418" s="1" t="s">
        <v>156</v>
      </c>
      <c r="O418" s="1" t="s">
        <v>157</v>
      </c>
      <c r="P418" s="1" t="s">
        <v>2325</v>
      </c>
      <c r="Q418" s="1" t="s">
        <v>4</v>
      </c>
      <c r="R418" s="1" t="s">
        <v>4</v>
      </c>
      <c r="S418" s="1" t="s">
        <v>10</v>
      </c>
      <c r="T418" s="1"/>
      <c r="U418" s="1"/>
      <c r="V418" s="1"/>
      <c r="W418" s="1" t="s">
        <v>1963</v>
      </c>
      <c r="X418" s="16">
        <v>111639</v>
      </c>
      <c r="Y418" s="16">
        <v>111639</v>
      </c>
      <c r="Z418" s="1" t="s">
        <v>1411</v>
      </c>
      <c r="AA418" s="1" t="s">
        <v>2468</v>
      </c>
      <c r="AB418" s="1" t="s">
        <v>2469</v>
      </c>
      <c r="AC418" s="1" t="s">
        <v>2470</v>
      </c>
      <c r="AD418" s="1" t="s">
        <v>17</v>
      </c>
      <c r="AE418" s="1" t="s">
        <v>18</v>
      </c>
      <c r="AF418" s="1" t="s">
        <v>19</v>
      </c>
      <c r="AG418" s="1" t="s">
        <v>19</v>
      </c>
      <c r="AH418" s="16">
        <v>232674.5382</v>
      </c>
    </row>
    <row r="419" spans="2:34" ht="15">
      <c r="B419" s="4" t="s">
        <v>20</v>
      </c>
      <c r="C419" s="5">
        <v>43726</v>
      </c>
      <c r="D419" s="4" t="s">
        <v>21</v>
      </c>
      <c r="E419" s="4" t="s">
        <v>2471</v>
      </c>
      <c r="F419" s="4" t="s">
        <v>3</v>
      </c>
      <c r="G419" s="4" t="s">
        <v>4</v>
      </c>
      <c r="H419" s="4" t="s">
        <v>126</v>
      </c>
      <c r="I419" s="5">
        <v>43725</v>
      </c>
      <c r="J419" s="6">
        <v>0.6939930555555556</v>
      </c>
      <c r="K419" s="5">
        <v>43727</v>
      </c>
      <c r="L419" s="4" t="s">
        <v>2256</v>
      </c>
      <c r="M419" s="4"/>
      <c r="N419" s="4" t="s">
        <v>459</v>
      </c>
      <c r="O419" s="4" t="s">
        <v>460</v>
      </c>
      <c r="P419" s="4" t="s">
        <v>2472</v>
      </c>
      <c r="Q419" s="4" t="s">
        <v>4</v>
      </c>
      <c r="R419" s="4" t="s">
        <v>4</v>
      </c>
      <c r="S419" s="4" t="s">
        <v>10</v>
      </c>
      <c r="T419" s="4"/>
      <c r="U419" s="4"/>
      <c r="V419" s="4"/>
      <c r="W419" s="4" t="s">
        <v>2258</v>
      </c>
      <c r="X419" s="17">
        <v>76000</v>
      </c>
      <c r="Y419" s="17">
        <v>76000</v>
      </c>
      <c r="Z419" s="4" t="s">
        <v>2473</v>
      </c>
      <c r="AA419" s="4" t="s">
        <v>2474</v>
      </c>
      <c r="AB419" s="4" t="s">
        <v>2475</v>
      </c>
      <c r="AC419" s="4" t="s">
        <v>2476</v>
      </c>
      <c r="AD419" s="4" t="s">
        <v>17</v>
      </c>
      <c r="AE419" s="4" t="s">
        <v>18</v>
      </c>
      <c r="AF419" s="4" t="s">
        <v>19</v>
      </c>
      <c r="AG419" s="4" t="s">
        <v>19</v>
      </c>
      <c r="AH419" s="17">
        <v>452053.08</v>
      </c>
    </row>
    <row r="420" spans="2:34" ht="15">
      <c r="B420" s="1" t="s">
        <v>0</v>
      </c>
      <c r="C420" s="2">
        <v>43726</v>
      </c>
      <c r="D420" s="1" t="s">
        <v>1</v>
      </c>
      <c r="E420" s="1" t="s">
        <v>2477</v>
      </c>
      <c r="F420" s="1" t="s">
        <v>3</v>
      </c>
      <c r="G420" s="1" t="s">
        <v>4</v>
      </c>
      <c r="H420" s="1" t="s">
        <v>126</v>
      </c>
      <c r="I420" s="2">
        <v>43726</v>
      </c>
      <c r="J420" s="3">
        <v>0.4133101851851852</v>
      </c>
      <c r="K420" s="2">
        <v>43728</v>
      </c>
      <c r="L420" s="1" t="s">
        <v>2256</v>
      </c>
      <c r="M420" s="1"/>
      <c r="N420" s="1" t="s">
        <v>418</v>
      </c>
      <c r="O420" s="1" t="s">
        <v>419</v>
      </c>
      <c r="P420" s="1" t="s">
        <v>2478</v>
      </c>
      <c r="Q420" s="1" t="s">
        <v>4</v>
      </c>
      <c r="R420" s="1" t="s">
        <v>4</v>
      </c>
      <c r="S420" s="1" t="s">
        <v>10</v>
      </c>
      <c r="T420" s="1"/>
      <c r="U420" s="1"/>
      <c r="V420" s="1"/>
      <c r="W420" s="1" t="s">
        <v>1963</v>
      </c>
      <c r="X420" s="16">
        <v>65000</v>
      </c>
      <c r="Y420" s="16">
        <v>65000</v>
      </c>
      <c r="Z420" s="1" t="s">
        <v>2479</v>
      </c>
      <c r="AA420" s="1" t="s">
        <v>2480</v>
      </c>
      <c r="AB420" s="1" t="s">
        <v>2481</v>
      </c>
      <c r="AC420" s="1" t="s">
        <v>2482</v>
      </c>
      <c r="AD420" s="1" t="s">
        <v>17</v>
      </c>
      <c r="AE420" s="1" t="s">
        <v>18</v>
      </c>
      <c r="AF420" s="1" t="s">
        <v>19</v>
      </c>
      <c r="AG420" s="1" t="s">
        <v>19</v>
      </c>
      <c r="AH420" s="16">
        <v>107465.5</v>
      </c>
    </row>
    <row r="421" spans="2:34" ht="15">
      <c r="B421" s="4" t="s">
        <v>20</v>
      </c>
      <c r="C421" s="5">
        <v>43727</v>
      </c>
      <c r="D421" s="4" t="s">
        <v>21</v>
      </c>
      <c r="E421" s="4" t="s">
        <v>2483</v>
      </c>
      <c r="F421" s="4" t="s">
        <v>3</v>
      </c>
      <c r="G421" s="4" t="s">
        <v>4</v>
      </c>
      <c r="H421" s="4" t="s">
        <v>126</v>
      </c>
      <c r="I421" s="5">
        <v>43726</v>
      </c>
      <c r="J421" s="6">
        <v>0.6182638888888888</v>
      </c>
      <c r="K421" s="5">
        <v>43728</v>
      </c>
      <c r="L421" s="4" t="s">
        <v>2256</v>
      </c>
      <c r="M421" s="4"/>
      <c r="N421" s="4" t="s">
        <v>459</v>
      </c>
      <c r="O421" s="4" t="s">
        <v>460</v>
      </c>
      <c r="P421" s="4" t="s">
        <v>2472</v>
      </c>
      <c r="Q421" s="4" t="s">
        <v>4</v>
      </c>
      <c r="R421" s="4" t="s">
        <v>4</v>
      </c>
      <c r="S421" s="4" t="s">
        <v>10</v>
      </c>
      <c r="T421" s="4"/>
      <c r="U421" s="4"/>
      <c r="V421" s="4"/>
      <c r="W421" s="4" t="s">
        <v>2258</v>
      </c>
      <c r="X421" s="17">
        <v>50000</v>
      </c>
      <c r="Y421" s="17">
        <v>50000</v>
      </c>
      <c r="Z421" s="4" t="s">
        <v>2484</v>
      </c>
      <c r="AA421" s="4" t="s">
        <v>2485</v>
      </c>
      <c r="AB421" s="4" t="s">
        <v>2486</v>
      </c>
      <c r="AC421" s="4" t="s">
        <v>2487</v>
      </c>
      <c r="AD421" s="4" t="s">
        <v>17</v>
      </c>
      <c r="AE421" s="4" t="s">
        <v>18</v>
      </c>
      <c r="AF421" s="4" t="s">
        <v>19</v>
      </c>
      <c r="AG421" s="4" t="s">
        <v>19</v>
      </c>
      <c r="AH421" s="17">
        <v>297902</v>
      </c>
    </row>
    <row r="422" spans="2:34" ht="15">
      <c r="B422" s="1" t="s">
        <v>20</v>
      </c>
      <c r="C422" s="2">
        <v>43727</v>
      </c>
      <c r="D422" s="1" t="s">
        <v>21</v>
      </c>
      <c r="E422" s="1" t="s">
        <v>2488</v>
      </c>
      <c r="F422" s="1" t="s">
        <v>3</v>
      </c>
      <c r="G422" s="1" t="s">
        <v>4</v>
      </c>
      <c r="H422" s="1" t="s">
        <v>126</v>
      </c>
      <c r="I422" s="2">
        <v>43726</v>
      </c>
      <c r="J422" s="3">
        <v>0.6979282407407408</v>
      </c>
      <c r="K422" s="2">
        <v>43728</v>
      </c>
      <c r="L422" s="1" t="s">
        <v>2256</v>
      </c>
      <c r="M422" s="1"/>
      <c r="N422" s="1" t="s">
        <v>459</v>
      </c>
      <c r="O422" s="1" t="s">
        <v>460</v>
      </c>
      <c r="P422" s="1" t="s">
        <v>2472</v>
      </c>
      <c r="Q422" s="1" t="s">
        <v>4</v>
      </c>
      <c r="R422" s="1" t="s">
        <v>4</v>
      </c>
      <c r="S422" s="1" t="s">
        <v>10</v>
      </c>
      <c r="T422" s="1"/>
      <c r="U422" s="1"/>
      <c r="V422" s="1"/>
      <c r="W422" s="1" t="s">
        <v>2258</v>
      </c>
      <c r="X422" s="16">
        <v>100000</v>
      </c>
      <c r="Y422" s="16">
        <v>100000</v>
      </c>
      <c r="Z422" s="1" t="s">
        <v>2489</v>
      </c>
      <c r="AA422" s="1" t="s">
        <v>2490</v>
      </c>
      <c r="AB422" s="1" t="s">
        <v>2491</v>
      </c>
      <c r="AC422" s="1" t="s">
        <v>2492</v>
      </c>
      <c r="AD422" s="1" t="s">
        <v>17</v>
      </c>
      <c r="AE422" s="1" t="s">
        <v>18</v>
      </c>
      <c r="AF422" s="1" t="s">
        <v>19</v>
      </c>
      <c r="AG422" s="1" t="s">
        <v>19</v>
      </c>
      <c r="AH422" s="16">
        <v>597801</v>
      </c>
    </row>
    <row r="423" spans="2:34" ht="15">
      <c r="B423" s="4" t="s">
        <v>20</v>
      </c>
      <c r="C423" s="5">
        <v>43727</v>
      </c>
      <c r="D423" s="4" t="s">
        <v>21</v>
      </c>
      <c r="E423" s="4" t="s">
        <v>2493</v>
      </c>
      <c r="F423" s="4" t="s">
        <v>3</v>
      </c>
      <c r="G423" s="4" t="s">
        <v>4</v>
      </c>
      <c r="H423" s="4" t="s">
        <v>119</v>
      </c>
      <c r="I423" s="5">
        <v>43726</v>
      </c>
      <c r="J423" s="6">
        <v>0.6926967592592592</v>
      </c>
      <c r="K423" s="5">
        <v>43728</v>
      </c>
      <c r="L423" s="4" t="s">
        <v>2256</v>
      </c>
      <c r="M423" s="4"/>
      <c r="N423" s="4" t="s">
        <v>977</v>
      </c>
      <c r="O423" s="4" t="s">
        <v>978</v>
      </c>
      <c r="P423" s="4" t="s">
        <v>2453</v>
      </c>
      <c r="Q423" s="4" t="s">
        <v>4</v>
      </c>
      <c r="R423" s="4" t="s">
        <v>4</v>
      </c>
      <c r="S423" s="4" t="s">
        <v>10</v>
      </c>
      <c r="T423" s="4"/>
      <c r="U423" s="4"/>
      <c r="V423" s="4"/>
      <c r="W423" s="4" t="s">
        <v>1963</v>
      </c>
      <c r="X423" s="17">
        <v>107712</v>
      </c>
      <c r="Y423" s="17">
        <v>107712</v>
      </c>
      <c r="Z423" s="4" t="s">
        <v>2495</v>
      </c>
      <c r="AA423" s="4" t="s">
        <v>2496</v>
      </c>
      <c r="AB423" s="4" t="s">
        <v>2497</v>
      </c>
      <c r="AC423" s="4" t="s">
        <v>2498</v>
      </c>
      <c r="AD423" s="4" t="s">
        <v>17</v>
      </c>
      <c r="AE423" s="4" t="s">
        <v>2499</v>
      </c>
      <c r="AF423" s="4" t="s">
        <v>19</v>
      </c>
      <c r="AG423" s="4" t="s">
        <v>19</v>
      </c>
      <c r="AH423" s="17">
        <v>273337.9985</v>
      </c>
    </row>
    <row r="424" spans="2:34" ht="15">
      <c r="B424" s="1" t="s">
        <v>20</v>
      </c>
      <c r="C424" s="2">
        <v>43728</v>
      </c>
      <c r="D424" s="1" t="s">
        <v>21</v>
      </c>
      <c r="E424" s="1" t="s">
        <v>2500</v>
      </c>
      <c r="F424" s="1" t="s">
        <v>3</v>
      </c>
      <c r="G424" s="1" t="s">
        <v>4</v>
      </c>
      <c r="H424" s="1" t="s">
        <v>126</v>
      </c>
      <c r="I424" s="2">
        <v>43727</v>
      </c>
      <c r="J424" s="3">
        <v>0.6882986111111111</v>
      </c>
      <c r="K424" s="2">
        <v>43731</v>
      </c>
      <c r="L424" s="1" t="s">
        <v>2256</v>
      </c>
      <c r="M424" s="1"/>
      <c r="N424" s="1" t="s">
        <v>459</v>
      </c>
      <c r="O424" s="1" t="s">
        <v>460</v>
      </c>
      <c r="P424" s="1" t="s">
        <v>2472</v>
      </c>
      <c r="Q424" s="1" t="s">
        <v>4</v>
      </c>
      <c r="R424" s="1" t="s">
        <v>4</v>
      </c>
      <c r="S424" s="1" t="s">
        <v>10</v>
      </c>
      <c r="T424" s="1"/>
      <c r="U424" s="1"/>
      <c r="V424" s="1"/>
      <c r="W424" s="1" t="s">
        <v>2258</v>
      </c>
      <c r="X424" s="16">
        <v>31000</v>
      </c>
      <c r="Y424" s="16">
        <v>31000</v>
      </c>
      <c r="Z424" s="1" t="s">
        <v>2502</v>
      </c>
      <c r="AA424" s="1" t="s">
        <v>2503</v>
      </c>
      <c r="AB424" s="1" t="s">
        <v>2504</v>
      </c>
      <c r="AC424" s="1" t="s">
        <v>2505</v>
      </c>
      <c r="AD424" s="1" t="s">
        <v>17</v>
      </c>
      <c r="AE424" s="1" t="s">
        <v>18</v>
      </c>
      <c r="AF424" s="1" t="s">
        <v>19</v>
      </c>
      <c r="AG424" s="1" t="s">
        <v>19</v>
      </c>
      <c r="AH424" s="16">
        <v>185008.24</v>
      </c>
    </row>
    <row r="425" spans="2:34" ht="15">
      <c r="B425" s="4" t="s">
        <v>20</v>
      </c>
      <c r="C425" s="5">
        <v>43731</v>
      </c>
      <c r="D425" s="4" t="s">
        <v>21</v>
      </c>
      <c r="E425" s="4" t="s">
        <v>2506</v>
      </c>
      <c r="F425" s="4" t="s">
        <v>3</v>
      </c>
      <c r="G425" s="4" t="s">
        <v>4</v>
      </c>
      <c r="H425" s="4" t="s">
        <v>126</v>
      </c>
      <c r="I425" s="5">
        <v>43728</v>
      </c>
      <c r="J425" s="6">
        <v>0.6865740740740741</v>
      </c>
      <c r="K425" s="5">
        <v>43732</v>
      </c>
      <c r="L425" s="4" t="s">
        <v>2256</v>
      </c>
      <c r="M425" s="4"/>
      <c r="N425" s="4" t="s">
        <v>459</v>
      </c>
      <c r="O425" s="4" t="s">
        <v>460</v>
      </c>
      <c r="P425" s="4" t="s">
        <v>2472</v>
      </c>
      <c r="Q425" s="4" t="s">
        <v>4</v>
      </c>
      <c r="R425" s="4" t="s">
        <v>4</v>
      </c>
      <c r="S425" s="4" t="s">
        <v>10</v>
      </c>
      <c r="T425" s="4"/>
      <c r="U425" s="4"/>
      <c r="V425" s="4"/>
      <c r="W425" s="4" t="s">
        <v>2258</v>
      </c>
      <c r="X425" s="17">
        <v>82000</v>
      </c>
      <c r="Y425" s="17">
        <v>82000</v>
      </c>
      <c r="Z425" s="4" t="s">
        <v>2502</v>
      </c>
      <c r="AA425" s="4" t="s">
        <v>2508</v>
      </c>
      <c r="AB425" s="4" t="s">
        <v>2509</v>
      </c>
      <c r="AC425" s="4" t="s">
        <v>2510</v>
      </c>
      <c r="AD425" s="4" t="s">
        <v>17</v>
      </c>
      <c r="AE425" s="4" t="s">
        <v>18</v>
      </c>
      <c r="AF425" s="4" t="s">
        <v>19</v>
      </c>
      <c r="AG425" s="4" t="s">
        <v>19</v>
      </c>
      <c r="AH425" s="17">
        <v>489378.28</v>
      </c>
    </row>
    <row r="426" spans="2:34" ht="15">
      <c r="B426" s="1" t="s">
        <v>20</v>
      </c>
      <c r="C426" s="2">
        <v>43731</v>
      </c>
      <c r="D426" s="1" t="s">
        <v>21</v>
      </c>
      <c r="E426" s="1" t="s">
        <v>2511</v>
      </c>
      <c r="F426" s="1" t="s">
        <v>3</v>
      </c>
      <c r="G426" s="1" t="s">
        <v>4</v>
      </c>
      <c r="H426" s="1" t="s">
        <v>119</v>
      </c>
      <c r="I426" s="2">
        <v>43728</v>
      </c>
      <c r="J426" s="3">
        <v>0.6725578703703704</v>
      </c>
      <c r="K426" s="2">
        <v>43732</v>
      </c>
      <c r="L426" s="1" t="s">
        <v>2256</v>
      </c>
      <c r="M426" s="1"/>
      <c r="N426" s="1" t="s">
        <v>977</v>
      </c>
      <c r="O426" s="1" t="s">
        <v>978</v>
      </c>
      <c r="P426" s="1" t="s">
        <v>2453</v>
      </c>
      <c r="Q426" s="1" t="s">
        <v>4</v>
      </c>
      <c r="R426" s="1" t="s">
        <v>4</v>
      </c>
      <c r="S426" s="1" t="s">
        <v>10</v>
      </c>
      <c r="T426" s="1"/>
      <c r="U426" s="1"/>
      <c r="V426" s="1"/>
      <c r="W426" s="1" t="s">
        <v>1963</v>
      </c>
      <c r="X426" s="16">
        <v>100000</v>
      </c>
      <c r="Y426" s="16">
        <v>100000</v>
      </c>
      <c r="Z426" s="1" t="s">
        <v>2495</v>
      </c>
      <c r="AA426" s="1" t="s">
        <v>2512</v>
      </c>
      <c r="AB426" s="1" t="s">
        <v>2513</v>
      </c>
      <c r="AC426" s="1" t="s">
        <v>2514</v>
      </c>
      <c r="AD426" s="1" t="s">
        <v>17</v>
      </c>
      <c r="AE426" s="1" t="s">
        <v>2515</v>
      </c>
      <c r="AF426" s="1" t="s">
        <v>19</v>
      </c>
      <c r="AG426" s="1" t="s">
        <v>19</v>
      </c>
      <c r="AH426" s="16">
        <v>253767.52</v>
      </c>
    </row>
    <row r="427" spans="2:34" ht="15">
      <c r="B427" s="4" t="s">
        <v>20</v>
      </c>
      <c r="C427" s="5">
        <v>43733</v>
      </c>
      <c r="D427" s="4" t="s">
        <v>21</v>
      </c>
      <c r="E427" s="4" t="s">
        <v>2516</v>
      </c>
      <c r="F427" s="4" t="s">
        <v>3</v>
      </c>
      <c r="G427" s="4" t="s">
        <v>4</v>
      </c>
      <c r="H427" s="4" t="s">
        <v>23</v>
      </c>
      <c r="I427" s="5">
        <v>43732</v>
      </c>
      <c r="J427" s="6">
        <v>0.5967592592592592</v>
      </c>
      <c r="K427" s="5">
        <v>43734</v>
      </c>
      <c r="L427" s="4" t="s">
        <v>2256</v>
      </c>
      <c r="M427" s="4"/>
      <c r="N427" s="4" t="s">
        <v>459</v>
      </c>
      <c r="O427" s="4" t="s">
        <v>460</v>
      </c>
      <c r="P427" s="4" t="s">
        <v>2472</v>
      </c>
      <c r="Q427" s="4" t="s">
        <v>4</v>
      </c>
      <c r="R427" s="4" t="s">
        <v>4</v>
      </c>
      <c r="S427" s="4" t="s">
        <v>10</v>
      </c>
      <c r="T427" s="4"/>
      <c r="U427" s="4"/>
      <c r="V427" s="4"/>
      <c r="W427" s="4" t="s">
        <v>2258</v>
      </c>
      <c r="X427" s="17">
        <v>358500</v>
      </c>
      <c r="Y427" s="17">
        <v>358500</v>
      </c>
      <c r="Z427" s="4" t="s">
        <v>2502</v>
      </c>
      <c r="AA427" s="4" t="s">
        <v>2518</v>
      </c>
      <c r="AB427" s="4" t="s">
        <v>2519</v>
      </c>
      <c r="AC427" s="4" t="s">
        <v>2520</v>
      </c>
      <c r="AD427" s="4" t="s">
        <v>17</v>
      </c>
      <c r="AE427" s="4" t="s">
        <v>18</v>
      </c>
      <c r="AF427" s="4" t="s">
        <v>19</v>
      </c>
      <c r="AG427" s="4" t="s">
        <v>19</v>
      </c>
      <c r="AH427" s="17">
        <v>2139541.34</v>
      </c>
    </row>
    <row r="428" spans="2:34" ht="15">
      <c r="B428" s="1" t="s">
        <v>0</v>
      </c>
      <c r="C428" s="2">
        <v>43733</v>
      </c>
      <c r="D428" s="1" t="s">
        <v>1</v>
      </c>
      <c r="E428" s="1" t="s">
        <v>2521</v>
      </c>
      <c r="F428" s="1" t="s">
        <v>3</v>
      </c>
      <c r="G428" s="1" t="s">
        <v>4</v>
      </c>
      <c r="H428" s="1" t="s">
        <v>119</v>
      </c>
      <c r="I428" s="2">
        <v>43732</v>
      </c>
      <c r="J428" s="3">
        <v>0.601875</v>
      </c>
      <c r="K428" s="2">
        <v>43734</v>
      </c>
      <c r="L428" s="1" t="s">
        <v>2256</v>
      </c>
      <c r="M428" s="1"/>
      <c r="N428" s="1" t="s">
        <v>2522</v>
      </c>
      <c r="O428" s="1" t="s">
        <v>2523</v>
      </c>
      <c r="P428" s="1" t="s">
        <v>2524</v>
      </c>
      <c r="Q428" s="1" t="s">
        <v>4</v>
      </c>
      <c r="R428" s="1" t="s">
        <v>4</v>
      </c>
      <c r="S428" s="1" t="s">
        <v>10</v>
      </c>
      <c r="T428" s="1"/>
      <c r="U428" s="1"/>
      <c r="V428" s="1"/>
      <c r="W428" s="1" t="s">
        <v>1963</v>
      </c>
      <c r="X428" s="16">
        <v>55000</v>
      </c>
      <c r="Y428" s="16">
        <v>55000</v>
      </c>
      <c r="Z428" s="1" t="s">
        <v>2525</v>
      </c>
      <c r="AA428" s="1" t="s">
        <v>2526</v>
      </c>
      <c r="AB428" s="1" t="s">
        <v>2527</v>
      </c>
      <c r="AC428" s="1" t="s">
        <v>2528</v>
      </c>
      <c r="AD428" s="1" t="s">
        <v>17</v>
      </c>
      <c r="AE428" s="1" t="s">
        <v>18</v>
      </c>
      <c r="AF428" s="1" t="s">
        <v>19</v>
      </c>
      <c r="AG428" s="1" t="s">
        <v>19</v>
      </c>
      <c r="AH428" s="16">
        <v>590897.47</v>
      </c>
    </row>
    <row r="429" spans="2:34" ht="15">
      <c r="B429" s="4" t="s">
        <v>20</v>
      </c>
      <c r="C429" s="5">
        <v>43734</v>
      </c>
      <c r="D429" s="4" t="s">
        <v>21</v>
      </c>
      <c r="E429" s="4" t="s">
        <v>2529</v>
      </c>
      <c r="F429" s="4" t="s">
        <v>3</v>
      </c>
      <c r="G429" s="4" t="s">
        <v>4</v>
      </c>
      <c r="H429" s="4" t="s">
        <v>632</v>
      </c>
      <c r="I429" s="5">
        <v>43732</v>
      </c>
      <c r="J429" s="6">
        <v>0.43581018518518516</v>
      </c>
      <c r="K429" s="5">
        <v>43734</v>
      </c>
      <c r="L429" s="4" t="s">
        <v>2256</v>
      </c>
      <c r="M429" s="4"/>
      <c r="N429" s="4" t="s">
        <v>110</v>
      </c>
      <c r="O429" s="4" t="s">
        <v>111</v>
      </c>
      <c r="P429" s="4" t="s">
        <v>2355</v>
      </c>
      <c r="Q429" s="4" t="s">
        <v>4</v>
      </c>
      <c r="R429" s="4" t="s">
        <v>4</v>
      </c>
      <c r="S429" s="4" t="s">
        <v>10</v>
      </c>
      <c r="T429" s="4"/>
      <c r="U429" s="4"/>
      <c r="V429" s="4"/>
      <c r="W429" s="4" t="s">
        <v>2258</v>
      </c>
      <c r="X429" s="17">
        <v>45000</v>
      </c>
      <c r="Y429" s="17">
        <v>45000</v>
      </c>
      <c r="Z429" s="4" t="s">
        <v>2530</v>
      </c>
      <c r="AA429" s="4" t="s">
        <v>2531</v>
      </c>
      <c r="AB429" s="4" t="s">
        <v>2532</v>
      </c>
      <c r="AC429" s="4" t="s">
        <v>2533</v>
      </c>
      <c r="AD429" s="4" t="s">
        <v>17</v>
      </c>
      <c r="AE429" s="4" t="s">
        <v>18</v>
      </c>
      <c r="AF429" s="4" t="s">
        <v>19</v>
      </c>
      <c r="AG429" s="4" t="s">
        <v>19</v>
      </c>
      <c r="AH429" s="17">
        <v>140198.041</v>
      </c>
    </row>
    <row r="430" spans="2:34" ht="15">
      <c r="B430" s="1" t="s">
        <v>20</v>
      </c>
      <c r="C430" s="2">
        <v>43735</v>
      </c>
      <c r="D430" s="1" t="s">
        <v>21</v>
      </c>
      <c r="E430" s="1" t="s">
        <v>2534</v>
      </c>
      <c r="F430" s="1" t="s">
        <v>3</v>
      </c>
      <c r="G430" s="1" t="s">
        <v>4</v>
      </c>
      <c r="H430" s="1" t="s">
        <v>119</v>
      </c>
      <c r="I430" s="2">
        <v>43734</v>
      </c>
      <c r="J430" s="3">
        <v>0.6931018518518518</v>
      </c>
      <c r="K430" s="2">
        <v>43738</v>
      </c>
      <c r="L430" s="1" t="s">
        <v>2256</v>
      </c>
      <c r="M430" s="1"/>
      <c r="N430" s="1" t="s">
        <v>977</v>
      </c>
      <c r="O430" s="1" t="s">
        <v>978</v>
      </c>
      <c r="P430" s="1" t="s">
        <v>2453</v>
      </c>
      <c r="Q430" s="1" t="s">
        <v>4</v>
      </c>
      <c r="R430" s="1" t="s">
        <v>4</v>
      </c>
      <c r="S430" s="1" t="s">
        <v>10</v>
      </c>
      <c r="T430" s="1"/>
      <c r="U430" s="1"/>
      <c r="V430" s="1"/>
      <c r="W430" s="1" t="s">
        <v>1963</v>
      </c>
      <c r="X430" s="16">
        <v>81549</v>
      </c>
      <c r="Y430" s="16">
        <v>81549</v>
      </c>
      <c r="Z430" s="1" t="s">
        <v>2536</v>
      </c>
      <c r="AA430" s="1" t="s">
        <v>2537</v>
      </c>
      <c r="AB430" s="1" t="s">
        <v>2538</v>
      </c>
      <c r="AC430" s="1" t="s">
        <v>2539</v>
      </c>
      <c r="AD430" s="1" t="s">
        <v>17</v>
      </c>
      <c r="AE430" s="1" t="s">
        <v>2540</v>
      </c>
      <c r="AF430" s="1" t="s">
        <v>19</v>
      </c>
      <c r="AG430" s="1" t="s">
        <v>19</v>
      </c>
      <c r="AH430" s="16">
        <v>206989.0746</v>
      </c>
    </row>
    <row r="431" spans="2:34" ht="15">
      <c r="B431" s="4" t="s">
        <v>20</v>
      </c>
      <c r="C431" s="5">
        <v>43738</v>
      </c>
      <c r="D431" s="4" t="s">
        <v>21</v>
      </c>
      <c r="E431" s="4" t="s">
        <v>2541</v>
      </c>
      <c r="F431" s="4" t="s">
        <v>3</v>
      </c>
      <c r="G431" s="4" t="s">
        <v>4</v>
      </c>
      <c r="H431" s="4" t="s">
        <v>119</v>
      </c>
      <c r="I431" s="5">
        <v>43735</v>
      </c>
      <c r="J431" s="6">
        <v>0.6916435185185185</v>
      </c>
      <c r="K431" s="5">
        <v>43739</v>
      </c>
      <c r="L431" s="4" t="s">
        <v>2256</v>
      </c>
      <c r="M431" s="4"/>
      <c r="N431" s="4" t="s">
        <v>977</v>
      </c>
      <c r="O431" s="4" t="s">
        <v>978</v>
      </c>
      <c r="P431" s="4" t="s">
        <v>2453</v>
      </c>
      <c r="Q431" s="4" t="s">
        <v>4</v>
      </c>
      <c r="R431" s="4" t="s">
        <v>4</v>
      </c>
      <c r="S431" s="4" t="s">
        <v>10</v>
      </c>
      <c r="T431" s="4"/>
      <c r="U431" s="4"/>
      <c r="V431" s="4"/>
      <c r="W431" s="4" t="s">
        <v>1963</v>
      </c>
      <c r="X431" s="17">
        <v>14819</v>
      </c>
      <c r="Y431" s="17">
        <v>14819</v>
      </c>
      <c r="Z431" s="4" t="s">
        <v>2495</v>
      </c>
      <c r="AA431" s="4" t="s">
        <v>2543</v>
      </c>
      <c r="AB431" s="4" t="s">
        <v>2544</v>
      </c>
      <c r="AC431" s="4" t="s">
        <v>2545</v>
      </c>
      <c r="AD431" s="4" t="s">
        <v>17</v>
      </c>
      <c r="AE431" s="4" t="s">
        <v>2546</v>
      </c>
      <c r="AF431" s="4" t="s">
        <v>19</v>
      </c>
      <c r="AG431" s="4" t="s">
        <v>19</v>
      </c>
      <c r="AH431" s="17">
        <v>37606.66</v>
      </c>
    </row>
    <row r="432" spans="2:34" ht="15">
      <c r="B432" s="1" t="s">
        <v>20</v>
      </c>
      <c r="C432" s="2">
        <v>43739</v>
      </c>
      <c r="D432" s="1" t="s">
        <v>21</v>
      </c>
      <c r="E432" s="1" t="s">
        <v>2547</v>
      </c>
      <c r="F432" s="1" t="s">
        <v>3</v>
      </c>
      <c r="G432" s="1" t="s">
        <v>4</v>
      </c>
      <c r="H432" s="1" t="s">
        <v>632</v>
      </c>
      <c r="I432" s="2">
        <v>43738</v>
      </c>
      <c r="J432" s="3">
        <v>0.48935185185185187</v>
      </c>
      <c r="K432" s="2">
        <v>43740</v>
      </c>
      <c r="L432" s="1" t="s">
        <v>2256</v>
      </c>
      <c r="M432" s="1"/>
      <c r="N432" s="1" t="s">
        <v>24</v>
      </c>
      <c r="O432" s="1" t="s">
        <v>25</v>
      </c>
      <c r="P432" s="1" t="s">
        <v>2548</v>
      </c>
      <c r="Q432" s="1" t="s">
        <v>4</v>
      </c>
      <c r="R432" s="1" t="s">
        <v>4</v>
      </c>
      <c r="S432" s="1" t="s">
        <v>10</v>
      </c>
      <c r="T432" s="1"/>
      <c r="U432" s="1"/>
      <c r="V432" s="1"/>
      <c r="W432" s="1" t="s">
        <v>2258</v>
      </c>
      <c r="X432" s="16">
        <v>2396517</v>
      </c>
      <c r="Y432" s="16">
        <v>2396517</v>
      </c>
      <c r="Z432" s="1" t="s">
        <v>2550</v>
      </c>
      <c r="AA432" s="1" t="s">
        <v>2551</v>
      </c>
      <c r="AB432" s="1" t="s">
        <v>2552</v>
      </c>
      <c r="AC432" s="1" t="s">
        <v>2553</v>
      </c>
      <c r="AD432" s="1" t="s">
        <v>17</v>
      </c>
      <c r="AE432" s="1" t="s">
        <v>18</v>
      </c>
      <c r="AF432" s="1" t="s">
        <v>19</v>
      </c>
      <c r="AG432" s="1" t="s">
        <v>19</v>
      </c>
      <c r="AH432" s="16">
        <v>436090.0001</v>
      </c>
    </row>
    <row r="433" spans="2:34" ht="15">
      <c r="B433" s="4" t="s">
        <v>20</v>
      </c>
      <c r="C433" s="5">
        <v>43739</v>
      </c>
      <c r="D433" s="4" t="s">
        <v>21</v>
      </c>
      <c r="E433" s="4" t="s">
        <v>2554</v>
      </c>
      <c r="F433" s="4" t="s">
        <v>3</v>
      </c>
      <c r="G433" s="4" t="s">
        <v>4</v>
      </c>
      <c r="H433" s="4" t="s">
        <v>632</v>
      </c>
      <c r="I433" s="5">
        <v>43738</v>
      </c>
      <c r="J433" s="6">
        <v>0.4895138888888889</v>
      </c>
      <c r="K433" s="5">
        <v>43740</v>
      </c>
      <c r="L433" s="4" t="s">
        <v>2256</v>
      </c>
      <c r="M433" s="4"/>
      <c r="N433" s="4" t="s">
        <v>24</v>
      </c>
      <c r="O433" s="4" t="s">
        <v>25</v>
      </c>
      <c r="P433" s="4" t="s">
        <v>2548</v>
      </c>
      <c r="Q433" s="4" t="s">
        <v>4</v>
      </c>
      <c r="R433" s="4" t="s">
        <v>4</v>
      </c>
      <c r="S433" s="4" t="s">
        <v>10</v>
      </c>
      <c r="T433" s="4"/>
      <c r="U433" s="4"/>
      <c r="V433" s="4"/>
      <c r="W433" s="4" t="s">
        <v>2258</v>
      </c>
      <c r="X433" s="17">
        <v>1677562</v>
      </c>
      <c r="Y433" s="17">
        <v>1677562</v>
      </c>
      <c r="Z433" s="4" t="s">
        <v>2556</v>
      </c>
      <c r="AA433" s="4" t="s">
        <v>2557</v>
      </c>
      <c r="AB433" s="4" t="s">
        <v>2558</v>
      </c>
      <c r="AC433" s="4" t="s">
        <v>2559</v>
      </c>
      <c r="AD433" s="4" t="s">
        <v>17</v>
      </c>
      <c r="AE433" s="4" t="s">
        <v>18</v>
      </c>
      <c r="AF433" s="4" t="s">
        <v>19</v>
      </c>
      <c r="AG433" s="4" t="s">
        <v>19</v>
      </c>
      <c r="AH433" s="17">
        <v>292985.2</v>
      </c>
    </row>
    <row r="434" spans="2:34" ht="15">
      <c r="B434" s="1" t="s">
        <v>20</v>
      </c>
      <c r="C434" s="2">
        <v>43739</v>
      </c>
      <c r="D434" s="1" t="s">
        <v>21</v>
      </c>
      <c r="E434" s="1" t="s">
        <v>2560</v>
      </c>
      <c r="F434" s="1" t="s">
        <v>3</v>
      </c>
      <c r="G434" s="1" t="s">
        <v>4</v>
      </c>
      <c r="H434" s="1" t="s">
        <v>632</v>
      </c>
      <c r="I434" s="2">
        <v>43738</v>
      </c>
      <c r="J434" s="3">
        <v>0.6978703703703704</v>
      </c>
      <c r="K434" s="2">
        <v>43740</v>
      </c>
      <c r="L434" s="1" t="s">
        <v>2256</v>
      </c>
      <c r="M434" s="1"/>
      <c r="N434" s="1" t="s">
        <v>24</v>
      </c>
      <c r="O434" s="1" t="s">
        <v>25</v>
      </c>
      <c r="P434" s="1" t="s">
        <v>2548</v>
      </c>
      <c r="Q434" s="1" t="s">
        <v>4</v>
      </c>
      <c r="R434" s="1" t="s">
        <v>4</v>
      </c>
      <c r="S434" s="1" t="s">
        <v>10</v>
      </c>
      <c r="T434" s="1"/>
      <c r="U434" s="1"/>
      <c r="V434" s="1"/>
      <c r="W434" s="1" t="s">
        <v>2258</v>
      </c>
      <c r="X434" s="16">
        <v>8415773</v>
      </c>
      <c r="Y434" s="16">
        <v>8415773</v>
      </c>
      <c r="Z434" s="1" t="s">
        <v>2556</v>
      </c>
      <c r="AA434" s="1" t="s">
        <v>2562</v>
      </c>
      <c r="AB434" s="1" t="s">
        <v>2563</v>
      </c>
      <c r="AC434" s="1" t="s">
        <v>2564</v>
      </c>
      <c r="AD434" s="1" t="s">
        <v>17</v>
      </c>
      <c r="AE434" s="1" t="s">
        <v>18</v>
      </c>
      <c r="AF434" s="1" t="s">
        <v>19</v>
      </c>
      <c r="AG434" s="1" t="s">
        <v>19</v>
      </c>
      <c r="AH434" s="16">
        <v>1469813.76</v>
      </c>
    </row>
    <row r="435" spans="2:34" ht="15">
      <c r="B435" s="4" t="s">
        <v>0</v>
      </c>
      <c r="C435" s="5">
        <v>43739</v>
      </c>
      <c r="D435" s="4" t="s">
        <v>1</v>
      </c>
      <c r="E435" s="4" t="s">
        <v>2565</v>
      </c>
      <c r="F435" s="4" t="s">
        <v>3</v>
      </c>
      <c r="G435" s="4" t="s">
        <v>4</v>
      </c>
      <c r="H435" s="4" t="s">
        <v>632</v>
      </c>
      <c r="I435" s="5">
        <v>43738</v>
      </c>
      <c r="J435" s="6">
        <v>0.48935185185185187</v>
      </c>
      <c r="K435" s="5">
        <v>43740</v>
      </c>
      <c r="L435" s="4" t="s">
        <v>2256</v>
      </c>
      <c r="M435" s="4"/>
      <c r="N435" s="4" t="s">
        <v>24</v>
      </c>
      <c r="O435" s="4" t="s">
        <v>25</v>
      </c>
      <c r="P435" s="4" t="s">
        <v>2548</v>
      </c>
      <c r="Q435" s="4" t="s">
        <v>4</v>
      </c>
      <c r="R435" s="4" t="s">
        <v>4</v>
      </c>
      <c r="S435" s="4" t="s">
        <v>10</v>
      </c>
      <c r="T435" s="4"/>
      <c r="U435" s="4"/>
      <c r="V435" s="4"/>
      <c r="W435" s="4" t="s">
        <v>2258</v>
      </c>
      <c r="X435" s="17">
        <v>603483</v>
      </c>
      <c r="Y435" s="17">
        <v>603483</v>
      </c>
      <c r="Z435" s="4" t="s">
        <v>2550</v>
      </c>
      <c r="AA435" s="4" t="s">
        <v>2567</v>
      </c>
      <c r="AB435" s="4" t="s">
        <v>2568</v>
      </c>
      <c r="AC435" s="4" t="s">
        <v>2569</v>
      </c>
      <c r="AD435" s="4" t="s">
        <v>17</v>
      </c>
      <c r="AE435" s="4" t="s">
        <v>18</v>
      </c>
      <c r="AF435" s="4" t="s">
        <v>19</v>
      </c>
      <c r="AG435" s="4" t="s">
        <v>19</v>
      </c>
      <c r="AH435" s="17">
        <v>109813.9999</v>
      </c>
    </row>
    <row r="436" spans="2:34" ht="15">
      <c r="B436" s="1" t="s">
        <v>0</v>
      </c>
      <c r="C436" s="2">
        <v>43739</v>
      </c>
      <c r="D436" s="1" t="s">
        <v>1</v>
      </c>
      <c r="E436" s="1" t="s">
        <v>2570</v>
      </c>
      <c r="F436" s="1" t="s">
        <v>3</v>
      </c>
      <c r="G436" s="1" t="s">
        <v>4</v>
      </c>
      <c r="H436" s="1" t="s">
        <v>632</v>
      </c>
      <c r="I436" s="2">
        <v>43738</v>
      </c>
      <c r="J436" s="3">
        <v>0.4895138888888889</v>
      </c>
      <c r="K436" s="2">
        <v>43740</v>
      </c>
      <c r="L436" s="1" t="s">
        <v>2256</v>
      </c>
      <c r="M436" s="1"/>
      <c r="N436" s="1" t="s">
        <v>24</v>
      </c>
      <c r="O436" s="1" t="s">
        <v>25</v>
      </c>
      <c r="P436" s="1" t="s">
        <v>2548</v>
      </c>
      <c r="Q436" s="1" t="s">
        <v>4</v>
      </c>
      <c r="R436" s="1" t="s">
        <v>4</v>
      </c>
      <c r="S436" s="1" t="s">
        <v>10</v>
      </c>
      <c r="T436" s="1"/>
      <c r="U436" s="1"/>
      <c r="V436" s="1"/>
      <c r="W436" s="1" t="s">
        <v>2258</v>
      </c>
      <c r="X436" s="16">
        <v>422438</v>
      </c>
      <c r="Y436" s="16">
        <v>422438</v>
      </c>
      <c r="Z436" s="1" t="s">
        <v>2556</v>
      </c>
      <c r="AA436" s="1" t="s">
        <v>2572</v>
      </c>
      <c r="AB436" s="1" t="s">
        <v>2573</v>
      </c>
      <c r="AC436" s="1" t="s">
        <v>2574</v>
      </c>
      <c r="AD436" s="1" t="s">
        <v>17</v>
      </c>
      <c r="AE436" s="1" t="s">
        <v>18</v>
      </c>
      <c r="AF436" s="1" t="s">
        <v>19</v>
      </c>
      <c r="AG436" s="1" t="s">
        <v>19</v>
      </c>
      <c r="AH436" s="16">
        <v>73777.8</v>
      </c>
    </row>
    <row r="437" spans="2:34" ht="15">
      <c r="B437" s="7" t="s">
        <v>0</v>
      </c>
      <c r="C437" s="8">
        <v>43739</v>
      </c>
      <c r="D437" s="7" t="s">
        <v>1</v>
      </c>
      <c r="E437" s="7" t="s">
        <v>2575</v>
      </c>
      <c r="F437" s="7" t="s">
        <v>3</v>
      </c>
      <c r="G437" s="7" t="s">
        <v>4</v>
      </c>
      <c r="H437" s="7" t="s">
        <v>632</v>
      </c>
      <c r="I437" s="8">
        <v>43738</v>
      </c>
      <c r="J437" s="9">
        <v>0.6978703703703704</v>
      </c>
      <c r="K437" s="8">
        <v>43740</v>
      </c>
      <c r="L437" s="7" t="s">
        <v>2256</v>
      </c>
      <c r="M437" s="7"/>
      <c r="N437" s="7" t="s">
        <v>24</v>
      </c>
      <c r="O437" s="7" t="s">
        <v>25</v>
      </c>
      <c r="P437" s="7" t="s">
        <v>2548</v>
      </c>
      <c r="Q437" s="7" t="s">
        <v>4</v>
      </c>
      <c r="R437" s="7" t="s">
        <v>4</v>
      </c>
      <c r="S437" s="7" t="s">
        <v>10</v>
      </c>
      <c r="T437" s="7"/>
      <c r="U437" s="7"/>
      <c r="V437" s="7"/>
      <c r="W437" s="7" t="s">
        <v>2258</v>
      </c>
      <c r="X437" s="18">
        <v>2119227</v>
      </c>
      <c r="Y437" s="18">
        <v>2119227</v>
      </c>
      <c r="Z437" s="7" t="s">
        <v>2556</v>
      </c>
      <c r="AA437" s="7" t="s">
        <v>2577</v>
      </c>
      <c r="AB437" s="7" t="s">
        <v>2578</v>
      </c>
      <c r="AC437" s="7" t="s">
        <v>2579</v>
      </c>
      <c r="AD437" s="7" t="s">
        <v>17</v>
      </c>
      <c r="AE437" s="7" t="s">
        <v>18</v>
      </c>
      <c r="AF437" s="7" t="s">
        <v>19</v>
      </c>
      <c r="AG437" s="7" t="s">
        <v>19</v>
      </c>
      <c r="AH437" s="18">
        <v>370122</v>
      </c>
    </row>
    <row r="438" spans="2:34" ht="15">
      <c r="B438" s="1" t="s">
        <v>20</v>
      </c>
      <c r="C438" s="2">
        <v>43739</v>
      </c>
      <c r="D438" s="1" t="s">
        <v>21</v>
      </c>
      <c r="E438" s="1" t="s">
        <v>2547</v>
      </c>
      <c r="F438" s="1" t="s">
        <v>3</v>
      </c>
      <c r="G438" s="1" t="s">
        <v>4</v>
      </c>
      <c r="H438" s="1" t="s">
        <v>632</v>
      </c>
      <c r="I438" s="2">
        <v>43738</v>
      </c>
      <c r="J438" s="3">
        <v>0.48935185185185187</v>
      </c>
      <c r="K438" s="2">
        <v>43740</v>
      </c>
      <c r="L438" s="1" t="s">
        <v>2256</v>
      </c>
      <c r="M438" s="1"/>
      <c r="N438" s="1" t="s">
        <v>24</v>
      </c>
      <c r="O438" s="1" t="s">
        <v>25</v>
      </c>
      <c r="P438" s="1" t="s">
        <v>2548</v>
      </c>
      <c r="Q438" s="1" t="s">
        <v>4</v>
      </c>
      <c r="R438" s="1" t="s">
        <v>4</v>
      </c>
      <c r="S438" s="1" t="s">
        <v>10</v>
      </c>
      <c r="T438" s="1"/>
      <c r="U438" s="1"/>
      <c r="V438" s="1"/>
      <c r="W438" s="1" t="s">
        <v>2258</v>
      </c>
      <c r="X438" s="16">
        <v>2396517</v>
      </c>
      <c r="Y438" s="16">
        <v>2396517</v>
      </c>
      <c r="Z438" s="1" t="s">
        <v>2550</v>
      </c>
      <c r="AA438" s="1" t="s">
        <v>2551</v>
      </c>
      <c r="AB438" s="1" t="s">
        <v>2552</v>
      </c>
      <c r="AC438" s="1" t="s">
        <v>2553</v>
      </c>
      <c r="AD438" s="1" t="s">
        <v>17</v>
      </c>
      <c r="AE438" s="1" t="s">
        <v>18</v>
      </c>
      <c r="AF438" s="1" t="s">
        <v>19</v>
      </c>
      <c r="AG438" s="1" t="s">
        <v>19</v>
      </c>
      <c r="AH438" s="16">
        <v>436090.0001</v>
      </c>
    </row>
    <row r="439" spans="2:34" ht="15">
      <c r="B439" s="4" t="s">
        <v>20</v>
      </c>
      <c r="C439" s="5">
        <v>43739</v>
      </c>
      <c r="D439" s="4" t="s">
        <v>21</v>
      </c>
      <c r="E439" s="4" t="s">
        <v>2554</v>
      </c>
      <c r="F439" s="4" t="s">
        <v>3</v>
      </c>
      <c r="G439" s="4" t="s">
        <v>4</v>
      </c>
      <c r="H439" s="4" t="s">
        <v>632</v>
      </c>
      <c r="I439" s="5">
        <v>43738</v>
      </c>
      <c r="J439" s="6">
        <v>0.4895138888888889</v>
      </c>
      <c r="K439" s="5">
        <v>43740</v>
      </c>
      <c r="L439" s="4" t="s">
        <v>2256</v>
      </c>
      <c r="M439" s="4"/>
      <c r="N439" s="4" t="s">
        <v>24</v>
      </c>
      <c r="O439" s="4" t="s">
        <v>25</v>
      </c>
      <c r="P439" s="4" t="s">
        <v>2548</v>
      </c>
      <c r="Q439" s="4" t="s">
        <v>4</v>
      </c>
      <c r="R439" s="4" t="s">
        <v>4</v>
      </c>
      <c r="S439" s="4" t="s">
        <v>10</v>
      </c>
      <c r="T439" s="4"/>
      <c r="U439" s="4"/>
      <c r="V439" s="4"/>
      <c r="W439" s="4" t="s">
        <v>2258</v>
      </c>
      <c r="X439" s="17">
        <v>1677562</v>
      </c>
      <c r="Y439" s="17">
        <v>1677562</v>
      </c>
      <c r="Z439" s="4" t="s">
        <v>2556</v>
      </c>
      <c r="AA439" s="4" t="s">
        <v>2557</v>
      </c>
      <c r="AB439" s="4" t="s">
        <v>2558</v>
      </c>
      <c r="AC439" s="4" t="s">
        <v>2559</v>
      </c>
      <c r="AD439" s="4" t="s">
        <v>17</v>
      </c>
      <c r="AE439" s="4" t="s">
        <v>18</v>
      </c>
      <c r="AF439" s="4" t="s">
        <v>19</v>
      </c>
      <c r="AG439" s="4" t="s">
        <v>19</v>
      </c>
      <c r="AH439" s="17">
        <v>292985.2</v>
      </c>
    </row>
    <row r="440" spans="2:34" ht="15">
      <c r="B440" s="1" t="s">
        <v>20</v>
      </c>
      <c r="C440" s="2">
        <v>43739</v>
      </c>
      <c r="D440" s="1" t="s">
        <v>21</v>
      </c>
      <c r="E440" s="1" t="s">
        <v>2560</v>
      </c>
      <c r="F440" s="1" t="s">
        <v>3</v>
      </c>
      <c r="G440" s="1" t="s">
        <v>4</v>
      </c>
      <c r="H440" s="1" t="s">
        <v>632</v>
      </c>
      <c r="I440" s="2">
        <v>43738</v>
      </c>
      <c r="J440" s="3">
        <v>0.6978703703703704</v>
      </c>
      <c r="K440" s="2">
        <v>43740</v>
      </c>
      <c r="L440" s="1" t="s">
        <v>2256</v>
      </c>
      <c r="M440" s="1"/>
      <c r="N440" s="1" t="s">
        <v>24</v>
      </c>
      <c r="O440" s="1" t="s">
        <v>25</v>
      </c>
      <c r="P440" s="1" t="s">
        <v>2548</v>
      </c>
      <c r="Q440" s="1" t="s">
        <v>4</v>
      </c>
      <c r="R440" s="1" t="s">
        <v>4</v>
      </c>
      <c r="S440" s="1" t="s">
        <v>10</v>
      </c>
      <c r="T440" s="1"/>
      <c r="U440" s="1"/>
      <c r="V440" s="1"/>
      <c r="W440" s="1" t="s">
        <v>2258</v>
      </c>
      <c r="X440" s="16">
        <v>8415773</v>
      </c>
      <c r="Y440" s="16">
        <v>8415773</v>
      </c>
      <c r="Z440" s="1" t="s">
        <v>2556</v>
      </c>
      <c r="AA440" s="1" t="s">
        <v>2562</v>
      </c>
      <c r="AB440" s="1" t="s">
        <v>2563</v>
      </c>
      <c r="AC440" s="1" t="s">
        <v>2564</v>
      </c>
      <c r="AD440" s="1" t="s">
        <v>17</v>
      </c>
      <c r="AE440" s="1" t="s">
        <v>18</v>
      </c>
      <c r="AF440" s="1" t="s">
        <v>19</v>
      </c>
      <c r="AG440" s="1" t="s">
        <v>19</v>
      </c>
      <c r="AH440" s="16">
        <v>1469813.76</v>
      </c>
    </row>
    <row r="441" spans="2:34" ht="15">
      <c r="B441" s="4" t="s">
        <v>0</v>
      </c>
      <c r="C441" s="5">
        <v>43739</v>
      </c>
      <c r="D441" s="4" t="s">
        <v>1</v>
      </c>
      <c r="E441" s="4" t="s">
        <v>2565</v>
      </c>
      <c r="F441" s="4" t="s">
        <v>3</v>
      </c>
      <c r="G441" s="4" t="s">
        <v>4</v>
      </c>
      <c r="H441" s="4" t="s">
        <v>632</v>
      </c>
      <c r="I441" s="5">
        <v>43738</v>
      </c>
      <c r="J441" s="6">
        <v>0.48935185185185187</v>
      </c>
      <c r="K441" s="5">
        <v>43740</v>
      </c>
      <c r="L441" s="4" t="s">
        <v>2256</v>
      </c>
      <c r="M441" s="4"/>
      <c r="N441" s="4" t="s">
        <v>24</v>
      </c>
      <c r="O441" s="4" t="s">
        <v>25</v>
      </c>
      <c r="P441" s="4" t="s">
        <v>2548</v>
      </c>
      <c r="Q441" s="4" t="s">
        <v>4</v>
      </c>
      <c r="R441" s="4" t="s">
        <v>4</v>
      </c>
      <c r="S441" s="4" t="s">
        <v>10</v>
      </c>
      <c r="T441" s="4"/>
      <c r="U441" s="4"/>
      <c r="V441" s="4"/>
      <c r="W441" s="4" t="s">
        <v>2258</v>
      </c>
      <c r="X441" s="17">
        <v>603483</v>
      </c>
      <c r="Y441" s="17">
        <v>603483</v>
      </c>
      <c r="Z441" s="4" t="s">
        <v>2550</v>
      </c>
      <c r="AA441" s="4" t="s">
        <v>2567</v>
      </c>
      <c r="AB441" s="4" t="s">
        <v>2568</v>
      </c>
      <c r="AC441" s="4" t="s">
        <v>2569</v>
      </c>
      <c r="AD441" s="4" t="s">
        <v>17</v>
      </c>
      <c r="AE441" s="4" t="s">
        <v>18</v>
      </c>
      <c r="AF441" s="4" t="s">
        <v>19</v>
      </c>
      <c r="AG441" s="4" t="s">
        <v>19</v>
      </c>
      <c r="AH441" s="17">
        <v>109813.9999</v>
      </c>
    </row>
    <row r="442" spans="2:34" ht="15">
      <c r="B442" s="1" t="s">
        <v>0</v>
      </c>
      <c r="C442" s="2">
        <v>43739</v>
      </c>
      <c r="D442" s="1" t="s">
        <v>1</v>
      </c>
      <c r="E442" s="1" t="s">
        <v>2570</v>
      </c>
      <c r="F442" s="1" t="s">
        <v>3</v>
      </c>
      <c r="G442" s="1" t="s">
        <v>4</v>
      </c>
      <c r="H442" s="1" t="s">
        <v>632</v>
      </c>
      <c r="I442" s="2">
        <v>43738</v>
      </c>
      <c r="J442" s="3">
        <v>0.4895138888888889</v>
      </c>
      <c r="K442" s="2">
        <v>43740</v>
      </c>
      <c r="L442" s="1" t="s">
        <v>2256</v>
      </c>
      <c r="M442" s="1"/>
      <c r="N442" s="1" t="s">
        <v>24</v>
      </c>
      <c r="O442" s="1" t="s">
        <v>25</v>
      </c>
      <c r="P442" s="1" t="s">
        <v>2548</v>
      </c>
      <c r="Q442" s="1" t="s">
        <v>4</v>
      </c>
      <c r="R442" s="1" t="s">
        <v>4</v>
      </c>
      <c r="S442" s="1" t="s">
        <v>10</v>
      </c>
      <c r="T442" s="1"/>
      <c r="U442" s="1"/>
      <c r="V442" s="1"/>
      <c r="W442" s="1" t="s">
        <v>2258</v>
      </c>
      <c r="X442" s="16">
        <v>422438</v>
      </c>
      <c r="Y442" s="16">
        <v>422438</v>
      </c>
      <c r="Z442" s="1" t="s">
        <v>2556</v>
      </c>
      <c r="AA442" s="1" t="s">
        <v>2572</v>
      </c>
      <c r="AB442" s="1" t="s">
        <v>2573</v>
      </c>
      <c r="AC442" s="1" t="s">
        <v>2574</v>
      </c>
      <c r="AD442" s="1" t="s">
        <v>17</v>
      </c>
      <c r="AE442" s="1" t="s">
        <v>18</v>
      </c>
      <c r="AF442" s="1" t="s">
        <v>19</v>
      </c>
      <c r="AG442" s="1" t="s">
        <v>19</v>
      </c>
      <c r="AH442" s="16">
        <v>73777.8</v>
      </c>
    </row>
    <row r="443" spans="2:34" ht="15">
      <c r="B443" s="4" t="s">
        <v>0</v>
      </c>
      <c r="C443" s="5">
        <v>43739</v>
      </c>
      <c r="D443" s="4" t="s">
        <v>1</v>
      </c>
      <c r="E443" s="4" t="s">
        <v>2575</v>
      </c>
      <c r="F443" s="4" t="s">
        <v>3</v>
      </c>
      <c r="G443" s="4" t="s">
        <v>4</v>
      </c>
      <c r="H443" s="4" t="s">
        <v>632</v>
      </c>
      <c r="I443" s="5">
        <v>43738</v>
      </c>
      <c r="J443" s="6">
        <v>0.6978703703703704</v>
      </c>
      <c r="K443" s="5">
        <v>43740</v>
      </c>
      <c r="L443" s="4" t="s">
        <v>2256</v>
      </c>
      <c r="M443" s="4"/>
      <c r="N443" s="4" t="s">
        <v>24</v>
      </c>
      <c r="O443" s="4" t="s">
        <v>25</v>
      </c>
      <c r="P443" s="4" t="s">
        <v>2548</v>
      </c>
      <c r="Q443" s="4" t="s">
        <v>4</v>
      </c>
      <c r="R443" s="4" t="s">
        <v>4</v>
      </c>
      <c r="S443" s="4" t="s">
        <v>10</v>
      </c>
      <c r="T443" s="4"/>
      <c r="U443" s="4"/>
      <c r="V443" s="4"/>
      <c r="W443" s="4" t="s">
        <v>2258</v>
      </c>
      <c r="X443" s="17">
        <v>2119227</v>
      </c>
      <c r="Y443" s="17">
        <v>2119227</v>
      </c>
      <c r="Z443" s="4" t="s">
        <v>2556</v>
      </c>
      <c r="AA443" s="4" t="s">
        <v>2577</v>
      </c>
      <c r="AB443" s="4" t="s">
        <v>2578</v>
      </c>
      <c r="AC443" s="4" t="s">
        <v>2579</v>
      </c>
      <c r="AD443" s="4" t="s">
        <v>17</v>
      </c>
      <c r="AE443" s="4" t="s">
        <v>18</v>
      </c>
      <c r="AF443" s="4" t="s">
        <v>19</v>
      </c>
      <c r="AG443" s="4" t="s">
        <v>19</v>
      </c>
      <c r="AH443" s="17">
        <v>370122</v>
      </c>
    </row>
    <row r="444" spans="2:34" ht="15">
      <c r="B444" s="1" t="s">
        <v>20</v>
      </c>
      <c r="C444" s="2">
        <v>43741</v>
      </c>
      <c r="D444" s="1" t="s">
        <v>21</v>
      </c>
      <c r="E444" s="1" t="s">
        <v>2580</v>
      </c>
      <c r="F444" s="1" t="s">
        <v>3</v>
      </c>
      <c r="G444" s="1" t="s">
        <v>4</v>
      </c>
      <c r="H444" s="1" t="s">
        <v>119</v>
      </c>
      <c r="I444" s="2">
        <v>43740</v>
      </c>
      <c r="J444" s="3">
        <v>0.5278587962962963</v>
      </c>
      <c r="K444" s="2">
        <v>43742</v>
      </c>
      <c r="L444" s="1" t="s">
        <v>2256</v>
      </c>
      <c r="M444" s="1"/>
      <c r="N444" s="1" t="s">
        <v>288</v>
      </c>
      <c r="O444" s="1" t="s">
        <v>289</v>
      </c>
      <c r="P444" s="1" t="s">
        <v>2274</v>
      </c>
      <c r="Q444" s="1" t="s">
        <v>4</v>
      </c>
      <c r="R444" s="1" t="s">
        <v>4</v>
      </c>
      <c r="S444" s="1" t="s">
        <v>10</v>
      </c>
      <c r="T444" s="1"/>
      <c r="U444" s="1"/>
      <c r="V444" s="1"/>
      <c r="W444" s="1" t="s">
        <v>1963</v>
      </c>
      <c r="X444" s="16">
        <v>352056</v>
      </c>
      <c r="Y444" s="16">
        <v>352056</v>
      </c>
      <c r="Z444" s="1" t="s">
        <v>517</v>
      </c>
      <c r="AA444" s="1" t="s">
        <v>2582</v>
      </c>
      <c r="AB444" s="1" t="s">
        <v>2583</v>
      </c>
      <c r="AC444" s="1" t="s">
        <v>2584</v>
      </c>
      <c r="AD444" s="1" t="s">
        <v>17</v>
      </c>
      <c r="AE444" s="1" t="s">
        <v>18</v>
      </c>
      <c r="AF444" s="1" t="s">
        <v>19</v>
      </c>
      <c r="AG444" s="1" t="s">
        <v>19</v>
      </c>
      <c r="AH444" s="16">
        <v>1054753.73</v>
      </c>
    </row>
    <row r="445" spans="2:34" ht="15">
      <c r="B445" s="4" t="s">
        <v>20</v>
      </c>
      <c r="C445" s="5">
        <v>43741</v>
      </c>
      <c r="D445" s="4" t="s">
        <v>21</v>
      </c>
      <c r="E445" s="4" t="s">
        <v>2585</v>
      </c>
      <c r="F445" s="4" t="s">
        <v>3</v>
      </c>
      <c r="G445" s="4" t="s">
        <v>4</v>
      </c>
      <c r="H445" s="4" t="s">
        <v>119</v>
      </c>
      <c r="I445" s="5">
        <v>43740</v>
      </c>
      <c r="J445" s="6">
        <v>0.5059606481481481</v>
      </c>
      <c r="K445" s="5">
        <v>43742</v>
      </c>
      <c r="L445" s="4" t="s">
        <v>2256</v>
      </c>
      <c r="M445" s="4"/>
      <c r="N445" s="4" t="s">
        <v>977</v>
      </c>
      <c r="O445" s="4" t="s">
        <v>978</v>
      </c>
      <c r="P445" s="4" t="s">
        <v>2453</v>
      </c>
      <c r="Q445" s="4" t="s">
        <v>4</v>
      </c>
      <c r="R445" s="4" t="s">
        <v>4</v>
      </c>
      <c r="S445" s="4" t="s">
        <v>10</v>
      </c>
      <c r="T445" s="4"/>
      <c r="U445" s="4"/>
      <c r="V445" s="4"/>
      <c r="W445" s="4" t="s">
        <v>1963</v>
      </c>
      <c r="X445" s="17">
        <v>553632</v>
      </c>
      <c r="Y445" s="17">
        <v>553632</v>
      </c>
      <c r="Z445" s="4" t="s">
        <v>2587</v>
      </c>
      <c r="AA445" s="4" t="s">
        <v>2588</v>
      </c>
      <c r="AB445" s="4" t="s">
        <v>2589</v>
      </c>
      <c r="AC445" s="4" t="s">
        <v>2590</v>
      </c>
      <c r="AD445" s="4" t="s">
        <v>17</v>
      </c>
      <c r="AE445" s="4" t="s">
        <v>2591</v>
      </c>
      <c r="AF445" s="4" t="s">
        <v>19</v>
      </c>
      <c r="AG445" s="4" t="s">
        <v>19</v>
      </c>
      <c r="AH445" s="17">
        <v>1415826.351</v>
      </c>
    </row>
    <row r="446" spans="2:34" ht="15">
      <c r="B446" s="1" t="s">
        <v>153</v>
      </c>
      <c r="C446" s="2">
        <v>43741</v>
      </c>
      <c r="D446" s="1" t="s">
        <v>154</v>
      </c>
      <c r="E446" s="1" t="s">
        <v>2592</v>
      </c>
      <c r="F446" s="1" t="s">
        <v>3</v>
      </c>
      <c r="G446" s="1" t="s">
        <v>4</v>
      </c>
      <c r="H446" s="1" t="s">
        <v>119</v>
      </c>
      <c r="I446" s="2">
        <v>43740</v>
      </c>
      <c r="J446" s="3">
        <v>0.5278587962962963</v>
      </c>
      <c r="K446" s="2">
        <v>43742</v>
      </c>
      <c r="L446" s="1" t="s">
        <v>2256</v>
      </c>
      <c r="M446" s="1"/>
      <c r="N446" s="1" t="s">
        <v>288</v>
      </c>
      <c r="O446" s="1" t="s">
        <v>289</v>
      </c>
      <c r="P446" s="1" t="s">
        <v>2274</v>
      </c>
      <c r="Q446" s="1" t="s">
        <v>4</v>
      </c>
      <c r="R446" s="1" t="s">
        <v>4</v>
      </c>
      <c r="S446" s="1" t="s">
        <v>10</v>
      </c>
      <c r="T446" s="1"/>
      <c r="U446" s="1"/>
      <c r="V446" s="1"/>
      <c r="W446" s="1" t="s">
        <v>1963</v>
      </c>
      <c r="X446" s="16">
        <v>9384</v>
      </c>
      <c r="Y446" s="16">
        <v>9384</v>
      </c>
      <c r="Z446" s="1" t="s">
        <v>517</v>
      </c>
      <c r="AA446" s="1" t="s">
        <v>2594</v>
      </c>
      <c r="AB446" s="1" t="s">
        <v>2595</v>
      </c>
      <c r="AC446" s="1" t="s">
        <v>2596</v>
      </c>
      <c r="AD446" s="1" t="s">
        <v>17</v>
      </c>
      <c r="AE446" s="1" t="s">
        <v>18</v>
      </c>
      <c r="AF446" s="1" t="s">
        <v>19</v>
      </c>
      <c r="AG446" s="1" t="s">
        <v>19</v>
      </c>
      <c r="AH446" s="16">
        <v>28115.28</v>
      </c>
    </row>
    <row r="447" spans="2:34" ht="15">
      <c r="B447" s="4" t="s">
        <v>20</v>
      </c>
      <c r="C447" s="5">
        <v>43745</v>
      </c>
      <c r="D447" s="4" t="s">
        <v>21</v>
      </c>
      <c r="E447" s="4" t="s">
        <v>2597</v>
      </c>
      <c r="F447" s="4" t="s">
        <v>3</v>
      </c>
      <c r="G447" s="4" t="s">
        <v>4</v>
      </c>
      <c r="H447" s="4" t="s">
        <v>632</v>
      </c>
      <c r="I447" s="5">
        <v>43742</v>
      </c>
      <c r="J447" s="6">
        <v>0.6599884259259259</v>
      </c>
      <c r="K447" s="5">
        <v>43746</v>
      </c>
      <c r="L447" s="4" t="s">
        <v>2256</v>
      </c>
      <c r="M447" s="4"/>
      <c r="N447" s="4" t="s">
        <v>2598</v>
      </c>
      <c r="O447" s="4" t="s">
        <v>2599</v>
      </c>
      <c r="P447" s="4" t="s">
        <v>2600</v>
      </c>
      <c r="Q447" s="4" t="s">
        <v>4</v>
      </c>
      <c r="R447" s="4" t="s">
        <v>4</v>
      </c>
      <c r="S447" s="4" t="s">
        <v>10</v>
      </c>
      <c r="T447" s="4"/>
      <c r="U447" s="4"/>
      <c r="V447" s="4"/>
      <c r="W447" s="4" t="s">
        <v>2258</v>
      </c>
      <c r="X447" s="17">
        <v>2258601</v>
      </c>
      <c r="Y447" s="17">
        <v>2258601</v>
      </c>
      <c r="Z447" s="4" t="s">
        <v>2352</v>
      </c>
      <c r="AA447" s="4" t="s">
        <v>2602</v>
      </c>
      <c r="AB447" s="4" t="s">
        <v>2603</v>
      </c>
      <c r="AC447" s="4" t="s">
        <v>2604</v>
      </c>
      <c r="AD447" s="4" t="s">
        <v>17</v>
      </c>
      <c r="AE447" s="4" t="s">
        <v>18</v>
      </c>
      <c r="AF447" s="4" t="s">
        <v>19</v>
      </c>
      <c r="AG447" s="4" t="s">
        <v>19</v>
      </c>
      <c r="AH447" s="17">
        <v>45080.68</v>
      </c>
    </row>
    <row r="448" spans="2:34" ht="15">
      <c r="B448" s="1" t="s">
        <v>20</v>
      </c>
      <c r="C448" s="2">
        <v>43745</v>
      </c>
      <c r="D448" s="1" t="s">
        <v>21</v>
      </c>
      <c r="E448" s="1" t="s">
        <v>2605</v>
      </c>
      <c r="F448" s="1" t="s">
        <v>3</v>
      </c>
      <c r="G448" s="1" t="s">
        <v>4</v>
      </c>
      <c r="H448" s="1" t="s">
        <v>1366</v>
      </c>
      <c r="I448" s="2">
        <v>43742</v>
      </c>
      <c r="J448" s="3">
        <v>0.6229166666666667</v>
      </c>
      <c r="K448" s="2">
        <v>43746</v>
      </c>
      <c r="L448" s="1" t="s">
        <v>2256</v>
      </c>
      <c r="M448" s="1"/>
      <c r="N448" s="1" t="s">
        <v>401</v>
      </c>
      <c r="O448" s="1" t="s">
        <v>402</v>
      </c>
      <c r="P448" s="1" t="s">
        <v>2607</v>
      </c>
      <c r="Q448" s="1" t="s">
        <v>4</v>
      </c>
      <c r="R448" s="1" t="s">
        <v>4</v>
      </c>
      <c r="S448" s="1" t="s">
        <v>10</v>
      </c>
      <c r="T448" s="1"/>
      <c r="U448" s="1"/>
      <c r="V448" s="1"/>
      <c r="W448" s="1" t="s">
        <v>1963</v>
      </c>
      <c r="X448" s="16">
        <v>5241821</v>
      </c>
      <c r="Y448" s="16">
        <v>5241821</v>
      </c>
      <c r="Z448" s="1" t="s">
        <v>95</v>
      </c>
      <c r="AA448" s="1" t="s">
        <v>2609</v>
      </c>
      <c r="AB448" s="1" t="s">
        <v>2610</v>
      </c>
      <c r="AC448" s="1" t="s">
        <v>2611</v>
      </c>
      <c r="AD448" s="1" t="s">
        <v>17</v>
      </c>
      <c r="AE448" s="1" t="s">
        <v>18</v>
      </c>
      <c r="AF448" s="1" t="s">
        <v>19</v>
      </c>
      <c r="AG448" s="1" t="s">
        <v>19</v>
      </c>
      <c r="AH448" s="16">
        <v>787846.7</v>
      </c>
    </row>
    <row r="449" spans="2:34" ht="15">
      <c r="B449" s="4" t="s">
        <v>0</v>
      </c>
      <c r="C449" s="5">
        <v>43745</v>
      </c>
      <c r="D449" s="4" t="s">
        <v>1</v>
      </c>
      <c r="E449" s="4" t="s">
        <v>2612</v>
      </c>
      <c r="F449" s="4" t="s">
        <v>3</v>
      </c>
      <c r="G449" s="4" t="s">
        <v>4</v>
      </c>
      <c r="H449" s="4" t="s">
        <v>1366</v>
      </c>
      <c r="I449" s="5">
        <v>43742</v>
      </c>
      <c r="J449" s="6">
        <v>0.6229166666666667</v>
      </c>
      <c r="K449" s="5">
        <v>43746</v>
      </c>
      <c r="L449" s="4" t="s">
        <v>2256</v>
      </c>
      <c r="M449" s="4"/>
      <c r="N449" s="4" t="s">
        <v>401</v>
      </c>
      <c r="O449" s="4" t="s">
        <v>402</v>
      </c>
      <c r="P449" s="4" t="s">
        <v>2607</v>
      </c>
      <c r="Q449" s="4" t="s">
        <v>4</v>
      </c>
      <c r="R449" s="4" t="s">
        <v>4</v>
      </c>
      <c r="S449" s="4" t="s">
        <v>10</v>
      </c>
      <c r="T449" s="4"/>
      <c r="U449" s="4"/>
      <c r="V449" s="4"/>
      <c r="W449" s="4" t="s">
        <v>1963</v>
      </c>
      <c r="X449" s="17">
        <v>996945</v>
      </c>
      <c r="Y449" s="17">
        <v>996945</v>
      </c>
      <c r="Z449" s="4" t="s">
        <v>95</v>
      </c>
      <c r="AA449" s="4" t="s">
        <v>2614</v>
      </c>
      <c r="AB449" s="4" t="s">
        <v>2615</v>
      </c>
      <c r="AC449" s="4" t="s">
        <v>2616</v>
      </c>
      <c r="AD449" s="4" t="s">
        <v>17</v>
      </c>
      <c r="AE449" s="4" t="s">
        <v>18</v>
      </c>
      <c r="AF449" s="4" t="s">
        <v>19</v>
      </c>
      <c r="AG449" s="4" t="s">
        <v>19</v>
      </c>
      <c r="AH449" s="17">
        <v>149841.83</v>
      </c>
    </row>
    <row r="450" spans="2:34" ht="15">
      <c r="B450" s="1" t="s">
        <v>153</v>
      </c>
      <c r="C450" s="2">
        <v>43745</v>
      </c>
      <c r="D450" s="1" t="s">
        <v>154</v>
      </c>
      <c r="E450" s="1" t="s">
        <v>2617</v>
      </c>
      <c r="F450" s="1" t="s">
        <v>3</v>
      </c>
      <c r="G450" s="1" t="s">
        <v>4</v>
      </c>
      <c r="H450" s="1" t="s">
        <v>1366</v>
      </c>
      <c r="I450" s="2">
        <v>43742</v>
      </c>
      <c r="J450" s="3">
        <v>0.6229166666666667</v>
      </c>
      <c r="K450" s="2">
        <v>43746</v>
      </c>
      <c r="L450" s="1" t="s">
        <v>2256</v>
      </c>
      <c r="M450" s="1"/>
      <c r="N450" s="1" t="s">
        <v>401</v>
      </c>
      <c r="O450" s="1" t="s">
        <v>402</v>
      </c>
      <c r="P450" s="1" t="s">
        <v>2607</v>
      </c>
      <c r="Q450" s="1" t="s">
        <v>4</v>
      </c>
      <c r="R450" s="1" t="s">
        <v>4</v>
      </c>
      <c r="S450" s="1" t="s">
        <v>10</v>
      </c>
      <c r="T450" s="1"/>
      <c r="U450" s="1"/>
      <c r="V450" s="1"/>
      <c r="W450" s="1" t="s">
        <v>1963</v>
      </c>
      <c r="X450" s="16">
        <v>80036</v>
      </c>
      <c r="Y450" s="16">
        <v>80036</v>
      </c>
      <c r="Z450" s="1" t="s">
        <v>95</v>
      </c>
      <c r="AA450" s="1" t="s">
        <v>2619</v>
      </c>
      <c r="AB450" s="1" t="s">
        <v>2620</v>
      </c>
      <c r="AC450" s="1" t="s">
        <v>2621</v>
      </c>
      <c r="AD450" s="1" t="s">
        <v>17</v>
      </c>
      <c r="AE450" s="1" t="s">
        <v>18</v>
      </c>
      <c r="AF450" s="1" t="s">
        <v>19</v>
      </c>
      <c r="AG450" s="1" t="s">
        <v>19</v>
      </c>
      <c r="AH450" s="16">
        <v>12030.41</v>
      </c>
    </row>
    <row r="451" spans="2:34" ht="15">
      <c r="B451" s="4" t="s">
        <v>153</v>
      </c>
      <c r="C451" s="5">
        <v>43748</v>
      </c>
      <c r="D451" s="4" t="s">
        <v>154</v>
      </c>
      <c r="E451" s="4" t="s">
        <v>2622</v>
      </c>
      <c r="F451" s="4" t="s">
        <v>3</v>
      </c>
      <c r="G451" s="4" t="s">
        <v>4</v>
      </c>
      <c r="H451" s="4" t="s">
        <v>109</v>
      </c>
      <c r="I451" s="5">
        <v>43747</v>
      </c>
      <c r="J451" s="6">
        <v>0.45902777777777776</v>
      </c>
      <c r="K451" s="5">
        <v>43749</v>
      </c>
      <c r="L451" s="4" t="s">
        <v>2256</v>
      </c>
      <c r="M451" s="4"/>
      <c r="N451" s="4" t="s">
        <v>232</v>
      </c>
      <c r="O451" s="4" t="s">
        <v>233</v>
      </c>
      <c r="P451" s="4" t="s">
        <v>2389</v>
      </c>
      <c r="Q451" s="4" t="s">
        <v>4</v>
      </c>
      <c r="R451" s="4" t="s">
        <v>4</v>
      </c>
      <c r="S451" s="4" t="s">
        <v>10</v>
      </c>
      <c r="T451" s="4"/>
      <c r="U451" s="4"/>
      <c r="V451" s="4"/>
      <c r="W451" s="4" t="s">
        <v>2258</v>
      </c>
      <c r="X451" s="17">
        <v>2150</v>
      </c>
      <c r="Y451" s="17">
        <v>2150</v>
      </c>
      <c r="Z451" s="4" t="s">
        <v>2623</v>
      </c>
      <c r="AA451" s="4" t="s">
        <v>2624</v>
      </c>
      <c r="AB451" s="4" t="s">
        <v>2625</v>
      </c>
      <c r="AC451" s="4" t="s">
        <v>2626</v>
      </c>
      <c r="AD451" s="4" t="s">
        <v>17</v>
      </c>
      <c r="AE451" s="4" t="s">
        <v>18</v>
      </c>
      <c r="AF451" s="4" t="s">
        <v>19</v>
      </c>
      <c r="AG451" s="4" t="s">
        <v>19</v>
      </c>
      <c r="AH451" s="17">
        <v>21144.8735</v>
      </c>
    </row>
    <row r="452" spans="2:34" ht="15">
      <c r="B452" s="1" t="s">
        <v>20</v>
      </c>
      <c r="C452" s="2">
        <v>43749</v>
      </c>
      <c r="D452" s="1" t="s">
        <v>21</v>
      </c>
      <c r="E452" s="1" t="s">
        <v>2627</v>
      </c>
      <c r="F452" s="1" t="s">
        <v>3</v>
      </c>
      <c r="G452" s="1" t="s">
        <v>4</v>
      </c>
      <c r="H452" s="1" t="s">
        <v>119</v>
      </c>
      <c r="I452" s="2">
        <v>43748</v>
      </c>
      <c r="J452" s="3">
        <v>0.5575462962962963</v>
      </c>
      <c r="K452" s="2">
        <v>43752</v>
      </c>
      <c r="L452" s="1" t="s">
        <v>2256</v>
      </c>
      <c r="M452" s="1"/>
      <c r="N452" s="1" t="s">
        <v>977</v>
      </c>
      <c r="O452" s="1" t="s">
        <v>978</v>
      </c>
      <c r="P452" s="1" t="s">
        <v>2453</v>
      </c>
      <c r="Q452" s="1" t="s">
        <v>4</v>
      </c>
      <c r="R452" s="1" t="s">
        <v>4</v>
      </c>
      <c r="S452" s="1" t="s">
        <v>10</v>
      </c>
      <c r="T452" s="1"/>
      <c r="U452" s="1"/>
      <c r="V452" s="1"/>
      <c r="W452" s="1" t="s">
        <v>1963</v>
      </c>
      <c r="X452" s="16">
        <v>385482</v>
      </c>
      <c r="Y452" s="16">
        <v>385482</v>
      </c>
      <c r="Z452" s="1" t="s">
        <v>2629</v>
      </c>
      <c r="AA452" s="1" t="s">
        <v>2630</v>
      </c>
      <c r="AB452" s="1" t="s">
        <v>2631</v>
      </c>
      <c r="AC452" s="1" t="s">
        <v>2632</v>
      </c>
      <c r="AD452" s="1" t="s">
        <v>17</v>
      </c>
      <c r="AE452" s="1" t="s">
        <v>2633</v>
      </c>
      <c r="AF452" s="1" t="s">
        <v>19</v>
      </c>
      <c r="AG452" s="1" t="s">
        <v>19</v>
      </c>
      <c r="AH452" s="16">
        <v>984475.022</v>
      </c>
    </row>
    <row r="453" spans="2:34" ht="15">
      <c r="B453" s="4" t="s">
        <v>0</v>
      </c>
      <c r="C453" s="5">
        <v>43762</v>
      </c>
      <c r="D453" s="4" t="s">
        <v>1</v>
      </c>
      <c r="E453" s="4" t="s">
        <v>2634</v>
      </c>
      <c r="F453" s="4" t="s">
        <v>3</v>
      </c>
      <c r="G453" s="4" t="s">
        <v>4</v>
      </c>
      <c r="H453" s="4" t="s">
        <v>183</v>
      </c>
      <c r="I453" s="5">
        <v>43761</v>
      </c>
      <c r="J453" s="6">
        <v>0.6475115740740741</v>
      </c>
      <c r="K453" s="5">
        <v>43763</v>
      </c>
      <c r="L453" s="4" t="s">
        <v>2256</v>
      </c>
      <c r="M453" s="4"/>
      <c r="N453" s="4" t="s">
        <v>2635</v>
      </c>
      <c r="O453" s="4" t="s">
        <v>2636</v>
      </c>
      <c r="P453" s="4" t="s">
        <v>2637</v>
      </c>
      <c r="Q453" s="4" t="s">
        <v>4</v>
      </c>
      <c r="R453" s="4" t="s">
        <v>4</v>
      </c>
      <c r="S453" s="4" t="s">
        <v>10</v>
      </c>
      <c r="T453" s="4"/>
      <c r="U453" s="4"/>
      <c r="V453" s="4"/>
      <c r="W453" s="4" t="s">
        <v>1963</v>
      </c>
      <c r="X453" s="17">
        <v>5000</v>
      </c>
      <c r="Y453" s="17">
        <v>5000</v>
      </c>
      <c r="Z453" s="4" t="s">
        <v>2638</v>
      </c>
      <c r="AA453" s="4" t="s">
        <v>2639</v>
      </c>
      <c r="AB453" s="4" t="s">
        <v>2640</v>
      </c>
      <c r="AC453" s="4" t="s">
        <v>2641</v>
      </c>
      <c r="AD453" s="4" t="s">
        <v>17</v>
      </c>
      <c r="AE453" s="4" t="s">
        <v>18</v>
      </c>
      <c r="AF453" s="4" t="s">
        <v>19</v>
      </c>
      <c r="AG453" s="4" t="s">
        <v>19</v>
      </c>
      <c r="AH453" s="17">
        <v>158567.5</v>
      </c>
    </row>
    <row r="454" spans="2:34" ht="15">
      <c r="B454" s="1" t="s">
        <v>20</v>
      </c>
      <c r="C454" s="2">
        <v>43763</v>
      </c>
      <c r="D454" s="1" t="s">
        <v>21</v>
      </c>
      <c r="E454" s="1" t="s">
        <v>2642</v>
      </c>
      <c r="F454" s="1" t="s">
        <v>3</v>
      </c>
      <c r="G454" s="1" t="s">
        <v>4</v>
      </c>
      <c r="H454" s="1" t="s">
        <v>104</v>
      </c>
      <c r="I454" s="2">
        <v>43761</v>
      </c>
      <c r="J454" s="3">
        <v>0.375</v>
      </c>
      <c r="K454" s="2">
        <v>43763</v>
      </c>
      <c r="L454" s="1" t="s">
        <v>2256</v>
      </c>
      <c r="M454" s="1"/>
      <c r="N454" s="1" t="s">
        <v>876</v>
      </c>
      <c r="O454" s="1" t="s">
        <v>877</v>
      </c>
      <c r="P454" s="1" t="s">
        <v>2332</v>
      </c>
      <c r="Q454" s="1" t="s">
        <v>4</v>
      </c>
      <c r="R454" s="1" t="s">
        <v>85</v>
      </c>
      <c r="S454" s="1" t="s">
        <v>4</v>
      </c>
      <c r="T454" s="1"/>
      <c r="U454" s="1"/>
      <c r="V454" s="1"/>
      <c r="W454" s="1" t="s">
        <v>1963</v>
      </c>
      <c r="X454" s="16">
        <v>462136</v>
      </c>
      <c r="Y454" s="16">
        <v>462136</v>
      </c>
      <c r="Z454" s="1" t="s">
        <v>2644</v>
      </c>
      <c r="AA454" s="1" t="s">
        <v>2645</v>
      </c>
      <c r="AB454" s="1" t="s">
        <v>2645</v>
      </c>
      <c r="AC454" s="1" t="s">
        <v>17</v>
      </c>
      <c r="AD454" s="1" t="s">
        <v>17</v>
      </c>
      <c r="AE454" s="1" t="s">
        <v>17</v>
      </c>
      <c r="AF454" s="1" t="s">
        <v>19</v>
      </c>
      <c r="AG454" s="1" t="s">
        <v>19</v>
      </c>
      <c r="AH454" s="16">
        <v>656233.12</v>
      </c>
    </row>
    <row r="455" spans="2:34" ht="15">
      <c r="B455" s="4" t="s">
        <v>0</v>
      </c>
      <c r="C455" s="5">
        <v>43763</v>
      </c>
      <c r="D455" s="4" t="s">
        <v>1</v>
      </c>
      <c r="E455" s="4" t="s">
        <v>2646</v>
      </c>
      <c r="F455" s="4" t="s">
        <v>3</v>
      </c>
      <c r="G455" s="4" t="s">
        <v>4</v>
      </c>
      <c r="H455" s="4" t="s">
        <v>183</v>
      </c>
      <c r="I455" s="5">
        <v>43762</v>
      </c>
      <c r="J455" s="6">
        <v>0.4618055555555556</v>
      </c>
      <c r="K455" s="5">
        <v>43766</v>
      </c>
      <c r="L455" s="4"/>
      <c r="M455" s="4"/>
      <c r="N455" s="4" t="s">
        <v>2635</v>
      </c>
      <c r="O455" s="4" t="s">
        <v>2636</v>
      </c>
      <c r="P455" s="4" t="s">
        <v>2637</v>
      </c>
      <c r="Q455" s="4" t="s">
        <v>4</v>
      </c>
      <c r="R455" s="4" t="s">
        <v>4</v>
      </c>
      <c r="S455" s="4" t="s">
        <v>10</v>
      </c>
      <c r="T455" s="4"/>
      <c r="U455" s="4"/>
      <c r="V455" s="4"/>
      <c r="W455" s="4" t="s">
        <v>1963</v>
      </c>
      <c r="X455" s="17">
        <v>7000</v>
      </c>
      <c r="Y455" s="17">
        <v>7000</v>
      </c>
      <c r="Z455" s="4" t="s">
        <v>2638</v>
      </c>
      <c r="AA455" s="4" t="s">
        <v>2647</v>
      </c>
      <c r="AB455" s="4" t="s">
        <v>2648</v>
      </c>
      <c r="AC455" s="4" t="s">
        <v>2649</v>
      </c>
      <c r="AD455" s="4" t="s">
        <v>17</v>
      </c>
      <c r="AE455" s="4" t="s">
        <v>18</v>
      </c>
      <c r="AF455" s="4" t="s">
        <v>19</v>
      </c>
      <c r="AG455" s="4" t="s">
        <v>19</v>
      </c>
      <c r="AH455" s="17">
        <v>221994.1</v>
      </c>
    </row>
    <row r="456" spans="2:34" ht="15">
      <c r="B456" s="11" t="s">
        <v>0</v>
      </c>
      <c r="C456" s="12">
        <v>43763</v>
      </c>
      <c r="D456" s="11" t="s">
        <v>1</v>
      </c>
      <c r="E456" s="11" t="s">
        <v>2650</v>
      </c>
      <c r="F456" s="11" t="s">
        <v>3</v>
      </c>
      <c r="G456" s="11" t="s">
        <v>4</v>
      </c>
      <c r="H456" s="11" t="s">
        <v>183</v>
      </c>
      <c r="I456" s="12">
        <v>43762</v>
      </c>
      <c r="J456" s="13">
        <v>0.6341782407407407</v>
      </c>
      <c r="K456" s="12">
        <v>43766</v>
      </c>
      <c r="L456" s="11"/>
      <c r="M456" s="11"/>
      <c r="N456" s="11" t="s">
        <v>2635</v>
      </c>
      <c r="O456" s="11" t="s">
        <v>2636</v>
      </c>
      <c r="P456" s="11" t="s">
        <v>2637</v>
      </c>
      <c r="Q456" s="11" t="s">
        <v>4</v>
      </c>
      <c r="R456" s="11" t="s">
        <v>4</v>
      </c>
      <c r="S456" s="11" t="s">
        <v>10</v>
      </c>
      <c r="T456" s="11"/>
      <c r="U456" s="11"/>
      <c r="V456" s="11"/>
      <c r="W456" s="11" t="s">
        <v>1963</v>
      </c>
      <c r="X456" s="19">
        <v>500</v>
      </c>
      <c r="Y456" s="19">
        <v>500</v>
      </c>
      <c r="Z456" s="11" t="s">
        <v>2638</v>
      </c>
      <c r="AA456" s="11" t="s">
        <v>2652</v>
      </c>
      <c r="AB456" s="11" t="s">
        <v>2653</v>
      </c>
      <c r="AC456" s="11" t="s">
        <v>2638</v>
      </c>
      <c r="AD456" s="11" t="s">
        <v>17</v>
      </c>
      <c r="AE456" s="11" t="s">
        <v>18</v>
      </c>
      <c r="AF456" s="11" t="s">
        <v>19</v>
      </c>
      <c r="AG456" s="11" t="s">
        <v>19</v>
      </c>
      <c r="AH456" s="19">
        <v>15857.65</v>
      </c>
    </row>
    <row r="457" spans="2:34" ht="15">
      <c r="B457" s="1" t="s">
        <v>20</v>
      </c>
      <c r="C457" s="2">
        <v>43774</v>
      </c>
      <c r="D457" s="1" t="s">
        <v>21</v>
      </c>
      <c r="E457" s="1" t="s">
        <v>2654</v>
      </c>
      <c r="F457" s="1" t="s">
        <v>3</v>
      </c>
      <c r="G457" s="1" t="s">
        <v>4</v>
      </c>
      <c r="H457" s="1" t="s">
        <v>119</v>
      </c>
      <c r="I457" s="2">
        <v>43773</v>
      </c>
      <c r="J457" s="3">
        <v>0.6853472222222222</v>
      </c>
      <c r="K457" s="2">
        <v>43775</v>
      </c>
      <c r="L457" s="1" t="s">
        <v>2256</v>
      </c>
      <c r="M457" s="1"/>
      <c r="N457" s="1" t="s">
        <v>1967</v>
      </c>
      <c r="O457" s="1" t="s">
        <v>1954</v>
      </c>
      <c r="P457" s="1" t="s">
        <v>2655</v>
      </c>
      <c r="Q457" s="1" t="s">
        <v>4</v>
      </c>
      <c r="R457" s="1" t="s">
        <v>4</v>
      </c>
      <c r="S457" s="1" t="s">
        <v>10</v>
      </c>
      <c r="T457" s="1"/>
      <c r="U457" s="1"/>
      <c r="V457" s="1"/>
      <c r="W457" s="1" t="s">
        <v>2258</v>
      </c>
      <c r="X457" s="16">
        <v>129728</v>
      </c>
      <c r="Y457" s="16">
        <v>129728</v>
      </c>
      <c r="Z457" s="1" t="s">
        <v>2657</v>
      </c>
      <c r="AA457" s="1" t="s">
        <v>2658</v>
      </c>
      <c r="AB457" s="1" t="s">
        <v>2659</v>
      </c>
      <c r="AC457" s="1" t="s">
        <v>2660</v>
      </c>
      <c r="AD457" s="1" t="s">
        <v>17</v>
      </c>
      <c r="AE457" s="1" t="s">
        <v>18</v>
      </c>
      <c r="AF457" s="1" t="s">
        <v>19</v>
      </c>
      <c r="AG457" s="1" t="s">
        <v>19</v>
      </c>
      <c r="AH457" s="16">
        <v>199380.56</v>
      </c>
    </row>
    <row r="458" spans="2:34" ht="15">
      <c r="B458" s="4" t="s">
        <v>0</v>
      </c>
      <c r="C458" s="5">
        <v>43774</v>
      </c>
      <c r="D458" s="4" t="s">
        <v>1</v>
      </c>
      <c r="E458" s="4" t="s">
        <v>2661</v>
      </c>
      <c r="F458" s="4" t="s">
        <v>3</v>
      </c>
      <c r="G458" s="4" t="s">
        <v>4</v>
      </c>
      <c r="H458" s="4" t="s">
        <v>119</v>
      </c>
      <c r="I458" s="5">
        <v>43773</v>
      </c>
      <c r="J458" s="6">
        <v>0.6853472222222222</v>
      </c>
      <c r="K458" s="5">
        <v>43775</v>
      </c>
      <c r="L458" s="4" t="s">
        <v>2256</v>
      </c>
      <c r="M458" s="4"/>
      <c r="N458" s="4" t="s">
        <v>1967</v>
      </c>
      <c r="O458" s="4" t="s">
        <v>1954</v>
      </c>
      <c r="P458" s="4" t="s">
        <v>2655</v>
      </c>
      <c r="Q458" s="4" t="s">
        <v>4</v>
      </c>
      <c r="R458" s="4" t="s">
        <v>4</v>
      </c>
      <c r="S458" s="4" t="s">
        <v>10</v>
      </c>
      <c r="T458" s="4"/>
      <c r="U458" s="4"/>
      <c r="V458" s="4"/>
      <c r="W458" s="4" t="s">
        <v>2258</v>
      </c>
      <c r="X458" s="17">
        <v>90272</v>
      </c>
      <c r="Y458" s="17">
        <v>90272</v>
      </c>
      <c r="Z458" s="4" t="s">
        <v>2657</v>
      </c>
      <c r="AA458" s="4" t="s">
        <v>2663</v>
      </c>
      <c r="AB458" s="4" t="s">
        <v>2664</v>
      </c>
      <c r="AC458" s="4" t="s">
        <v>2665</v>
      </c>
      <c r="AD458" s="4" t="s">
        <v>17</v>
      </c>
      <c r="AE458" s="4" t="s">
        <v>18</v>
      </c>
      <c r="AF458" s="4" t="s">
        <v>19</v>
      </c>
      <c r="AG458" s="4" t="s">
        <v>19</v>
      </c>
      <c r="AH458" s="17">
        <v>138739.84</v>
      </c>
    </row>
    <row r="459" spans="2:34" ht="15">
      <c r="B459" s="1" t="s">
        <v>153</v>
      </c>
      <c r="C459" s="2">
        <v>43776</v>
      </c>
      <c r="D459" s="1" t="s">
        <v>154</v>
      </c>
      <c r="E459" s="1" t="s">
        <v>2666</v>
      </c>
      <c r="F459" s="1" t="s">
        <v>3</v>
      </c>
      <c r="G459" s="1" t="s">
        <v>4</v>
      </c>
      <c r="H459" s="1" t="s">
        <v>109</v>
      </c>
      <c r="I459" s="2">
        <v>43775</v>
      </c>
      <c r="J459" s="3">
        <v>0.4708333333333333</v>
      </c>
      <c r="K459" s="2">
        <v>43777</v>
      </c>
      <c r="L459" s="1" t="s">
        <v>2256</v>
      </c>
      <c r="M459" s="1"/>
      <c r="N459" s="1" t="s">
        <v>232</v>
      </c>
      <c r="O459" s="1" t="s">
        <v>233</v>
      </c>
      <c r="P459" s="1" t="s">
        <v>2389</v>
      </c>
      <c r="Q459" s="1" t="s">
        <v>4</v>
      </c>
      <c r="R459" s="1" t="s">
        <v>4</v>
      </c>
      <c r="S459" s="1" t="s">
        <v>10</v>
      </c>
      <c r="T459" s="1"/>
      <c r="U459" s="1"/>
      <c r="V459" s="1"/>
      <c r="W459" s="1" t="s">
        <v>2258</v>
      </c>
      <c r="X459" s="16">
        <v>9850</v>
      </c>
      <c r="Y459" s="16">
        <v>9850</v>
      </c>
      <c r="Z459" s="1" t="s">
        <v>2668</v>
      </c>
      <c r="AA459" s="1" t="s">
        <v>2669</v>
      </c>
      <c r="AB459" s="1" t="s">
        <v>2670</v>
      </c>
      <c r="AC459" s="1" t="s">
        <v>2671</v>
      </c>
      <c r="AD459" s="1" t="s">
        <v>17</v>
      </c>
      <c r="AE459" s="1" t="s">
        <v>18</v>
      </c>
      <c r="AF459" s="1" t="s">
        <v>19</v>
      </c>
      <c r="AG459" s="1" t="s">
        <v>19</v>
      </c>
      <c r="AH459" s="16">
        <v>93819.73</v>
      </c>
    </row>
    <row r="460" spans="2:34" ht="15">
      <c r="B460" s="4" t="s">
        <v>20</v>
      </c>
      <c r="C460" s="5">
        <v>43780</v>
      </c>
      <c r="D460" s="4" t="s">
        <v>21</v>
      </c>
      <c r="E460" s="4" t="s">
        <v>2672</v>
      </c>
      <c r="F460" s="4" t="s">
        <v>3</v>
      </c>
      <c r="G460" s="4" t="s">
        <v>4</v>
      </c>
      <c r="H460" s="4" t="s">
        <v>119</v>
      </c>
      <c r="I460" s="5">
        <v>43777</v>
      </c>
      <c r="J460" s="6">
        <v>0.6657986111111112</v>
      </c>
      <c r="K460" s="5">
        <v>43781</v>
      </c>
      <c r="L460" s="4" t="s">
        <v>2256</v>
      </c>
      <c r="M460" s="4"/>
      <c r="N460" s="4" t="s">
        <v>1967</v>
      </c>
      <c r="O460" s="4" t="s">
        <v>1954</v>
      </c>
      <c r="P460" s="4" t="s">
        <v>2655</v>
      </c>
      <c r="Q460" s="4" t="s">
        <v>4</v>
      </c>
      <c r="R460" s="4" t="s">
        <v>4</v>
      </c>
      <c r="S460" s="4" t="s">
        <v>10</v>
      </c>
      <c r="T460" s="4"/>
      <c r="U460" s="4"/>
      <c r="V460" s="4"/>
      <c r="W460" s="4" t="s">
        <v>2258</v>
      </c>
      <c r="X460" s="17">
        <v>20639</v>
      </c>
      <c r="Y460" s="17">
        <v>20639</v>
      </c>
      <c r="Z460" s="4" t="s">
        <v>2657</v>
      </c>
      <c r="AA460" s="4" t="s">
        <v>2674</v>
      </c>
      <c r="AB460" s="4" t="s">
        <v>2675</v>
      </c>
      <c r="AC460" s="4" t="s">
        <v>2676</v>
      </c>
      <c r="AD460" s="4" t="s">
        <v>17</v>
      </c>
      <c r="AE460" s="4" t="s">
        <v>18</v>
      </c>
      <c r="AF460" s="4" t="s">
        <v>19</v>
      </c>
      <c r="AG460" s="4" t="s">
        <v>19</v>
      </c>
      <c r="AH460" s="17">
        <v>31719.49</v>
      </c>
    </row>
    <row r="461" spans="2:34" ht="15">
      <c r="B461" s="1" t="s">
        <v>0</v>
      </c>
      <c r="C461" s="2">
        <v>43780</v>
      </c>
      <c r="D461" s="1" t="s">
        <v>1</v>
      </c>
      <c r="E461" s="1" t="s">
        <v>2677</v>
      </c>
      <c r="F461" s="1" t="s">
        <v>3</v>
      </c>
      <c r="G461" s="1" t="s">
        <v>4</v>
      </c>
      <c r="H461" s="1" t="s">
        <v>119</v>
      </c>
      <c r="I461" s="2">
        <v>43777</v>
      </c>
      <c r="J461" s="3">
        <v>0.6657986111111112</v>
      </c>
      <c r="K461" s="2">
        <v>43781</v>
      </c>
      <c r="L461" s="1" t="s">
        <v>2256</v>
      </c>
      <c r="M461" s="1"/>
      <c r="N461" s="1" t="s">
        <v>1967</v>
      </c>
      <c r="O461" s="1" t="s">
        <v>1954</v>
      </c>
      <c r="P461" s="1" t="s">
        <v>2655</v>
      </c>
      <c r="Q461" s="1" t="s">
        <v>4</v>
      </c>
      <c r="R461" s="1" t="s">
        <v>4</v>
      </c>
      <c r="S461" s="1" t="s">
        <v>10</v>
      </c>
      <c r="T461" s="1"/>
      <c r="U461" s="1"/>
      <c r="V461" s="1"/>
      <c r="W461" s="1" t="s">
        <v>2258</v>
      </c>
      <c r="X461" s="16">
        <v>14361</v>
      </c>
      <c r="Y461" s="16">
        <v>14361</v>
      </c>
      <c r="Z461" s="1" t="s">
        <v>2657</v>
      </c>
      <c r="AA461" s="1" t="s">
        <v>2679</v>
      </c>
      <c r="AB461" s="1" t="s">
        <v>2680</v>
      </c>
      <c r="AC461" s="1" t="s">
        <v>2681</v>
      </c>
      <c r="AD461" s="1" t="s">
        <v>17</v>
      </c>
      <c r="AE461" s="1" t="s">
        <v>18</v>
      </c>
      <c r="AF461" s="1" t="s">
        <v>19</v>
      </c>
      <c r="AG461" s="1" t="s">
        <v>19</v>
      </c>
      <c r="AH461" s="16">
        <v>22070.71</v>
      </c>
    </row>
    <row r="462" spans="2:34" ht="15">
      <c r="B462" s="4" t="s">
        <v>20</v>
      </c>
      <c r="C462" s="5">
        <v>43781</v>
      </c>
      <c r="D462" s="4" t="s">
        <v>21</v>
      </c>
      <c r="E462" s="4" t="s">
        <v>2682</v>
      </c>
      <c r="F462" s="4" t="s">
        <v>3</v>
      </c>
      <c r="G462" s="4" t="s">
        <v>4</v>
      </c>
      <c r="H462" s="4" t="s">
        <v>119</v>
      </c>
      <c r="I462" s="5">
        <v>43780</v>
      </c>
      <c r="J462" s="6">
        <v>0.4702314814814815</v>
      </c>
      <c r="K462" s="5">
        <v>43782</v>
      </c>
      <c r="L462" s="4" t="s">
        <v>2256</v>
      </c>
      <c r="M462" s="4"/>
      <c r="N462" s="4" t="s">
        <v>1967</v>
      </c>
      <c r="O462" s="4" t="s">
        <v>1954</v>
      </c>
      <c r="P462" s="4" t="s">
        <v>2655</v>
      </c>
      <c r="Q462" s="4" t="s">
        <v>4</v>
      </c>
      <c r="R462" s="4" t="s">
        <v>4</v>
      </c>
      <c r="S462" s="4" t="s">
        <v>10</v>
      </c>
      <c r="T462" s="4"/>
      <c r="U462" s="4"/>
      <c r="V462" s="4"/>
      <c r="W462" s="4" t="s">
        <v>2258</v>
      </c>
      <c r="X462" s="17">
        <v>117935</v>
      </c>
      <c r="Y462" s="17">
        <v>117935</v>
      </c>
      <c r="Z462" s="4" t="s">
        <v>2684</v>
      </c>
      <c r="AA462" s="4" t="s">
        <v>2685</v>
      </c>
      <c r="AB462" s="4" t="s">
        <v>2686</v>
      </c>
      <c r="AC462" s="4" t="s">
        <v>2687</v>
      </c>
      <c r="AD462" s="4" t="s">
        <v>17</v>
      </c>
      <c r="AE462" s="4" t="s">
        <v>18</v>
      </c>
      <c r="AF462" s="4" t="s">
        <v>19</v>
      </c>
      <c r="AG462" s="4" t="s">
        <v>19</v>
      </c>
      <c r="AH462" s="17">
        <v>184963.06</v>
      </c>
    </row>
    <row r="463" spans="2:34" ht="15">
      <c r="B463" s="1" t="s">
        <v>0</v>
      </c>
      <c r="C463" s="2">
        <v>43781</v>
      </c>
      <c r="D463" s="1" t="s">
        <v>1</v>
      </c>
      <c r="E463" s="1" t="s">
        <v>2688</v>
      </c>
      <c r="F463" s="1" t="s">
        <v>3</v>
      </c>
      <c r="G463" s="1" t="s">
        <v>4</v>
      </c>
      <c r="H463" s="1" t="s">
        <v>119</v>
      </c>
      <c r="I463" s="2">
        <v>43780</v>
      </c>
      <c r="J463" s="3">
        <v>0.4702314814814815</v>
      </c>
      <c r="K463" s="2">
        <v>43782</v>
      </c>
      <c r="L463" s="1" t="s">
        <v>2256</v>
      </c>
      <c r="M463" s="1"/>
      <c r="N463" s="1" t="s">
        <v>1967</v>
      </c>
      <c r="O463" s="1" t="s">
        <v>1954</v>
      </c>
      <c r="P463" s="1" t="s">
        <v>2655</v>
      </c>
      <c r="Q463" s="1" t="s">
        <v>4</v>
      </c>
      <c r="R463" s="1" t="s">
        <v>4</v>
      </c>
      <c r="S463" s="1" t="s">
        <v>10</v>
      </c>
      <c r="T463" s="1"/>
      <c r="U463" s="1"/>
      <c r="V463" s="1"/>
      <c r="W463" s="1" t="s">
        <v>2258</v>
      </c>
      <c r="X463" s="16">
        <v>82065</v>
      </c>
      <c r="Y463" s="16">
        <v>82065</v>
      </c>
      <c r="Z463" s="1" t="s">
        <v>2684</v>
      </c>
      <c r="AA463" s="1" t="s">
        <v>2690</v>
      </c>
      <c r="AB463" s="1" t="s">
        <v>2691</v>
      </c>
      <c r="AC463" s="1" t="s">
        <v>2692</v>
      </c>
      <c r="AD463" s="1" t="s">
        <v>17</v>
      </c>
      <c r="AE463" s="1" t="s">
        <v>18</v>
      </c>
      <c r="AF463" s="1" t="s">
        <v>19</v>
      </c>
      <c r="AG463" s="1" t="s">
        <v>19</v>
      </c>
      <c r="AH463" s="16">
        <v>128706.14</v>
      </c>
    </row>
    <row r="464" spans="2:34" ht="15">
      <c r="B464" s="4" t="s">
        <v>20</v>
      </c>
      <c r="C464" s="5">
        <v>43782</v>
      </c>
      <c r="D464" s="4" t="s">
        <v>21</v>
      </c>
      <c r="E464" s="4" t="s">
        <v>2693</v>
      </c>
      <c r="F464" s="4" t="s">
        <v>3</v>
      </c>
      <c r="G464" s="4" t="s">
        <v>4</v>
      </c>
      <c r="H464" s="4" t="s">
        <v>119</v>
      </c>
      <c r="I464" s="5">
        <v>43781</v>
      </c>
      <c r="J464" s="6">
        <v>0.48269675925925926</v>
      </c>
      <c r="K464" s="5">
        <v>43783</v>
      </c>
      <c r="L464" s="4" t="s">
        <v>2256</v>
      </c>
      <c r="M464" s="4"/>
      <c r="N464" s="4" t="s">
        <v>1967</v>
      </c>
      <c r="O464" s="4" t="s">
        <v>1954</v>
      </c>
      <c r="P464" s="4" t="s">
        <v>2655</v>
      </c>
      <c r="Q464" s="4" t="s">
        <v>4</v>
      </c>
      <c r="R464" s="4" t="s">
        <v>4</v>
      </c>
      <c r="S464" s="4" t="s">
        <v>10</v>
      </c>
      <c r="T464" s="4"/>
      <c r="U464" s="4"/>
      <c r="V464" s="4"/>
      <c r="W464" s="4" t="s">
        <v>2258</v>
      </c>
      <c r="X464" s="17">
        <v>117935</v>
      </c>
      <c r="Y464" s="17">
        <v>117935</v>
      </c>
      <c r="Z464" s="4" t="s">
        <v>2694</v>
      </c>
      <c r="AA464" s="4" t="s">
        <v>2695</v>
      </c>
      <c r="AB464" s="4" t="s">
        <v>2696</v>
      </c>
      <c r="AC464" s="4" t="s">
        <v>2697</v>
      </c>
      <c r="AD464" s="4" t="s">
        <v>17</v>
      </c>
      <c r="AE464" s="4" t="s">
        <v>18</v>
      </c>
      <c r="AF464" s="4" t="s">
        <v>19</v>
      </c>
      <c r="AG464" s="4" t="s">
        <v>19</v>
      </c>
      <c r="AH464" s="17">
        <v>193768.2647</v>
      </c>
    </row>
    <row r="465" spans="2:34" ht="15">
      <c r="B465" s="1" t="s">
        <v>20</v>
      </c>
      <c r="C465" s="2">
        <v>43782</v>
      </c>
      <c r="D465" s="1" t="s">
        <v>21</v>
      </c>
      <c r="E465" s="1" t="s">
        <v>2698</v>
      </c>
      <c r="F465" s="1" t="s">
        <v>3</v>
      </c>
      <c r="G465" s="1" t="s">
        <v>4</v>
      </c>
      <c r="H465" s="1" t="s">
        <v>1366</v>
      </c>
      <c r="I465" s="2">
        <v>43781</v>
      </c>
      <c r="J465" s="3">
        <v>0.5347222222222222</v>
      </c>
      <c r="K465" s="2">
        <v>43783</v>
      </c>
      <c r="L465" s="1" t="s">
        <v>2256</v>
      </c>
      <c r="M465" s="1"/>
      <c r="N465" s="1" t="s">
        <v>401</v>
      </c>
      <c r="O465" s="1" t="s">
        <v>402</v>
      </c>
      <c r="P465" s="1" t="s">
        <v>2607</v>
      </c>
      <c r="Q465" s="1" t="s">
        <v>4</v>
      </c>
      <c r="R465" s="1" t="s">
        <v>4</v>
      </c>
      <c r="S465" s="1" t="s">
        <v>10</v>
      </c>
      <c r="T465" s="1"/>
      <c r="U465" s="1"/>
      <c r="V465" s="1"/>
      <c r="W465" s="1" t="s">
        <v>1963</v>
      </c>
      <c r="X465" s="16">
        <v>8060571</v>
      </c>
      <c r="Y465" s="16">
        <v>8060571</v>
      </c>
      <c r="Z465" s="1" t="s">
        <v>2700</v>
      </c>
      <c r="AA465" s="1" t="s">
        <v>2701</v>
      </c>
      <c r="AB465" s="1" t="s">
        <v>2702</v>
      </c>
      <c r="AC465" s="1" t="s">
        <v>2703</v>
      </c>
      <c r="AD465" s="1" t="s">
        <v>17</v>
      </c>
      <c r="AE465" s="1" t="s">
        <v>18</v>
      </c>
      <c r="AF465" s="1" t="s">
        <v>19</v>
      </c>
      <c r="AG465" s="1" t="s">
        <v>19</v>
      </c>
      <c r="AH465" s="16">
        <v>1130737.9</v>
      </c>
    </row>
    <row r="466" spans="2:34" ht="15">
      <c r="B466" s="4" t="s">
        <v>0</v>
      </c>
      <c r="C466" s="5">
        <v>43782</v>
      </c>
      <c r="D466" s="4" t="s">
        <v>1</v>
      </c>
      <c r="E466" s="4" t="s">
        <v>2704</v>
      </c>
      <c r="F466" s="4" t="s">
        <v>3</v>
      </c>
      <c r="G466" s="4" t="s">
        <v>4</v>
      </c>
      <c r="H466" s="4" t="s">
        <v>119</v>
      </c>
      <c r="I466" s="5">
        <v>43781</v>
      </c>
      <c r="J466" s="6">
        <v>0.48269675925925926</v>
      </c>
      <c r="K466" s="5">
        <v>43783</v>
      </c>
      <c r="L466" s="4" t="s">
        <v>2256</v>
      </c>
      <c r="M466" s="4"/>
      <c r="N466" s="4" t="s">
        <v>1967</v>
      </c>
      <c r="O466" s="4" t="s">
        <v>1954</v>
      </c>
      <c r="P466" s="4" t="s">
        <v>2655</v>
      </c>
      <c r="Q466" s="4" t="s">
        <v>4</v>
      </c>
      <c r="R466" s="4" t="s">
        <v>4</v>
      </c>
      <c r="S466" s="4" t="s">
        <v>10</v>
      </c>
      <c r="T466" s="4"/>
      <c r="U466" s="4"/>
      <c r="V466" s="4"/>
      <c r="W466" s="4" t="s">
        <v>2258</v>
      </c>
      <c r="X466" s="17">
        <v>82065</v>
      </c>
      <c r="Y466" s="17">
        <v>82065</v>
      </c>
      <c r="Z466" s="4" t="s">
        <v>2694</v>
      </c>
      <c r="AA466" s="4" t="s">
        <v>2705</v>
      </c>
      <c r="AB466" s="4" t="s">
        <v>2706</v>
      </c>
      <c r="AC466" s="4" t="s">
        <v>2707</v>
      </c>
      <c r="AD466" s="4" t="s">
        <v>17</v>
      </c>
      <c r="AE466" s="4" t="s">
        <v>18</v>
      </c>
      <c r="AF466" s="4" t="s">
        <v>19</v>
      </c>
      <c r="AG466" s="4" t="s">
        <v>19</v>
      </c>
      <c r="AH466" s="17">
        <v>134833.2213</v>
      </c>
    </row>
    <row r="467" spans="2:34" ht="15">
      <c r="B467" s="1" t="s">
        <v>0</v>
      </c>
      <c r="C467" s="2">
        <v>43782</v>
      </c>
      <c r="D467" s="1" t="s">
        <v>1</v>
      </c>
      <c r="E467" s="1" t="s">
        <v>2708</v>
      </c>
      <c r="F467" s="1" t="s">
        <v>3</v>
      </c>
      <c r="G467" s="1" t="s">
        <v>4</v>
      </c>
      <c r="H467" s="1" t="s">
        <v>1366</v>
      </c>
      <c r="I467" s="2">
        <v>43781</v>
      </c>
      <c r="J467" s="3">
        <v>0.5347222222222222</v>
      </c>
      <c r="K467" s="2">
        <v>43783</v>
      </c>
      <c r="L467" s="1" t="s">
        <v>2256</v>
      </c>
      <c r="M467" s="1"/>
      <c r="N467" s="1" t="s">
        <v>401</v>
      </c>
      <c r="O467" s="1" t="s">
        <v>402</v>
      </c>
      <c r="P467" s="1" t="s">
        <v>2607</v>
      </c>
      <c r="Q467" s="1" t="s">
        <v>4</v>
      </c>
      <c r="R467" s="1" t="s">
        <v>4</v>
      </c>
      <c r="S467" s="1" t="s">
        <v>10</v>
      </c>
      <c r="T467" s="1"/>
      <c r="U467" s="1"/>
      <c r="V467" s="1"/>
      <c r="W467" s="1" t="s">
        <v>1963</v>
      </c>
      <c r="X467" s="16">
        <v>1778177</v>
      </c>
      <c r="Y467" s="16">
        <v>1778177</v>
      </c>
      <c r="Z467" s="1" t="s">
        <v>2700</v>
      </c>
      <c r="AA467" s="1" t="s">
        <v>2710</v>
      </c>
      <c r="AB467" s="1" t="s">
        <v>2711</v>
      </c>
      <c r="AC467" s="1" t="s">
        <v>2712</v>
      </c>
      <c r="AD467" s="1" t="s">
        <v>17</v>
      </c>
      <c r="AE467" s="1" t="s">
        <v>18</v>
      </c>
      <c r="AF467" s="1" t="s">
        <v>19</v>
      </c>
      <c r="AG467" s="1" t="s">
        <v>19</v>
      </c>
      <c r="AH467" s="16">
        <v>249443.67</v>
      </c>
    </row>
    <row r="468" spans="2:34" ht="15">
      <c r="B468" s="4" t="s">
        <v>153</v>
      </c>
      <c r="C468" s="5">
        <v>43782</v>
      </c>
      <c r="D468" s="4" t="s">
        <v>154</v>
      </c>
      <c r="E468" s="4" t="s">
        <v>2713</v>
      </c>
      <c r="F468" s="4" t="s">
        <v>3</v>
      </c>
      <c r="G468" s="4" t="s">
        <v>4</v>
      </c>
      <c r="H468" s="4" t="s">
        <v>1366</v>
      </c>
      <c r="I468" s="5">
        <v>43781</v>
      </c>
      <c r="J468" s="6">
        <v>0.5347222222222222</v>
      </c>
      <c r="K468" s="5">
        <v>43783</v>
      </c>
      <c r="L468" s="4" t="s">
        <v>2256</v>
      </c>
      <c r="M468" s="4"/>
      <c r="N468" s="4" t="s">
        <v>401</v>
      </c>
      <c r="O468" s="4" t="s">
        <v>402</v>
      </c>
      <c r="P468" s="4" t="s">
        <v>2607</v>
      </c>
      <c r="Q468" s="4" t="s">
        <v>4</v>
      </c>
      <c r="R468" s="4" t="s">
        <v>4</v>
      </c>
      <c r="S468" s="4" t="s">
        <v>10</v>
      </c>
      <c r="T468" s="4"/>
      <c r="U468" s="4"/>
      <c r="V468" s="4"/>
      <c r="W468" s="4" t="s">
        <v>1963</v>
      </c>
      <c r="X468" s="17">
        <v>161252</v>
      </c>
      <c r="Y468" s="17">
        <v>161252</v>
      </c>
      <c r="Z468" s="4" t="s">
        <v>2700</v>
      </c>
      <c r="AA468" s="4" t="s">
        <v>2715</v>
      </c>
      <c r="AB468" s="4" t="s">
        <v>2716</v>
      </c>
      <c r="AC468" s="4" t="s">
        <v>2717</v>
      </c>
      <c r="AD468" s="4" t="s">
        <v>17</v>
      </c>
      <c r="AE468" s="4" t="s">
        <v>18</v>
      </c>
      <c r="AF468" s="4" t="s">
        <v>19</v>
      </c>
      <c r="AG468" s="4" t="s">
        <v>19</v>
      </c>
      <c r="AH468" s="17">
        <v>22621.43</v>
      </c>
    </row>
    <row r="469" spans="2:34" ht="15">
      <c r="B469" s="1" t="s">
        <v>20</v>
      </c>
      <c r="C469" s="2">
        <v>43784</v>
      </c>
      <c r="D469" s="1" t="s">
        <v>21</v>
      </c>
      <c r="E469" s="1" t="s">
        <v>2693</v>
      </c>
      <c r="F469" s="1" t="s">
        <v>3</v>
      </c>
      <c r="G469" s="1" t="s">
        <v>4</v>
      </c>
      <c r="H469" s="1" t="s">
        <v>119</v>
      </c>
      <c r="I469" s="2">
        <v>43783</v>
      </c>
      <c r="J469" s="3">
        <v>0.5493981481481481</v>
      </c>
      <c r="K469" s="2">
        <v>43787</v>
      </c>
      <c r="L469" s="1" t="s">
        <v>2256</v>
      </c>
      <c r="M469" s="1"/>
      <c r="N469" s="1" t="s">
        <v>1967</v>
      </c>
      <c r="O469" s="1" t="s">
        <v>1954</v>
      </c>
      <c r="P469" s="1" t="s">
        <v>2655</v>
      </c>
      <c r="Q469" s="1" t="s">
        <v>4</v>
      </c>
      <c r="R469" s="1" t="s">
        <v>4</v>
      </c>
      <c r="S469" s="1" t="s">
        <v>10</v>
      </c>
      <c r="T469" s="1"/>
      <c r="U469" s="1"/>
      <c r="V469" s="1"/>
      <c r="W469" s="1" t="s">
        <v>2258</v>
      </c>
      <c r="X469" s="16">
        <v>176902</v>
      </c>
      <c r="Y469" s="16">
        <v>117935</v>
      </c>
      <c r="Z469" s="1" t="s">
        <v>2719</v>
      </c>
      <c r="AA469" s="1" t="s">
        <v>2720</v>
      </c>
      <c r="AB469" s="1" t="s">
        <v>2721</v>
      </c>
      <c r="AC469" s="1" t="s">
        <v>2722</v>
      </c>
      <c r="AD469" s="1" t="s">
        <v>17</v>
      </c>
      <c r="AE469" s="1" t="s">
        <v>18</v>
      </c>
      <c r="AF469" s="1" t="s">
        <v>19</v>
      </c>
      <c r="AG469" s="1" t="s">
        <v>19</v>
      </c>
      <c r="AH469" s="16">
        <v>295834.1032</v>
      </c>
    </row>
    <row r="470" spans="2:34" ht="15">
      <c r="B470" s="4" t="s">
        <v>0</v>
      </c>
      <c r="C470" s="5">
        <v>43784</v>
      </c>
      <c r="D470" s="4" t="s">
        <v>1</v>
      </c>
      <c r="E470" s="4" t="s">
        <v>2704</v>
      </c>
      <c r="F470" s="4" t="s">
        <v>3</v>
      </c>
      <c r="G470" s="4" t="s">
        <v>4</v>
      </c>
      <c r="H470" s="4" t="s">
        <v>119</v>
      </c>
      <c r="I470" s="5">
        <v>43783</v>
      </c>
      <c r="J470" s="6">
        <v>0.5493981481481481</v>
      </c>
      <c r="K470" s="5">
        <v>43787</v>
      </c>
      <c r="L470" s="4" t="s">
        <v>2256</v>
      </c>
      <c r="M470" s="4"/>
      <c r="N470" s="4" t="s">
        <v>1967</v>
      </c>
      <c r="O470" s="4" t="s">
        <v>1954</v>
      </c>
      <c r="P470" s="4" t="s">
        <v>2655</v>
      </c>
      <c r="Q470" s="4" t="s">
        <v>4</v>
      </c>
      <c r="R470" s="4" t="s">
        <v>4</v>
      </c>
      <c r="S470" s="4" t="s">
        <v>10</v>
      </c>
      <c r="T470" s="4"/>
      <c r="U470" s="4"/>
      <c r="V470" s="4"/>
      <c r="W470" s="4" t="s">
        <v>2258</v>
      </c>
      <c r="X470" s="17">
        <v>123098</v>
      </c>
      <c r="Y470" s="17">
        <v>123098</v>
      </c>
      <c r="Z470" s="4" t="s">
        <v>2719</v>
      </c>
      <c r="AA470" s="4" t="s">
        <v>2724</v>
      </c>
      <c r="AB470" s="4" t="s">
        <v>2725</v>
      </c>
      <c r="AC470" s="4" t="s">
        <v>2726</v>
      </c>
      <c r="AD470" s="4" t="s">
        <v>17</v>
      </c>
      <c r="AE470" s="4" t="s">
        <v>18</v>
      </c>
      <c r="AF470" s="4" t="s">
        <v>19</v>
      </c>
      <c r="AG470" s="4" t="s">
        <v>19</v>
      </c>
      <c r="AH470" s="17">
        <v>205857.0996</v>
      </c>
    </row>
    <row r="471" spans="2:34" ht="15">
      <c r="B471" s="1" t="s">
        <v>20</v>
      </c>
      <c r="C471" s="2">
        <v>43787</v>
      </c>
      <c r="D471" s="1" t="s">
        <v>21</v>
      </c>
      <c r="E471" s="1" t="s">
        <v>2727</v>
      </c>
      <c r="F471" s="1" t="s">
        <v>3</v>
      </c>
      <c r="G471" s="1" t="s">
        <v>4</v>
      </c>
      <c r="H471" s="1" t="s">
        <v>119</v>
      </c>
      <c r="I471" s="2">
        <v>43784</v>
      </c>
      <c r="J471" s="3">
        <v>0.5686574074074074</v>
      </c>
      <c r="K471" s="2">
        <v>43788</v>
      </c>
      <c r="L471" s="1" t="s">
        <v>2256</v>
      </c>
      <c r="M471" s="1"/>
      <c r="N471" s="1" t="s">
        <v>1967</v>
      </c>
      <c r="O471" s="1" t="s">
        <v>1954</v>
      </c>
      <c r="P471" s="1" t="s">
        <v>2655</v>
      </c>
      <c r="Q471" s="1" t="s">
        <v>4</v>
      </c>
      <c r="R471" s="1" t="s">
        <v>4</v>
      </c>
      <c r="S471" s="1" t="s">
        <v>10</v>
      </c>
      <c r="T471" s="1"/>
      <c r="U471" s="1"/>
      <c r="V471" s="1"/>
      <c r="W471" s="1" t="s">
        <v>2258</v>
      </c>
      <c r="X471" s="16">
        <v>117935</v>
      </c>
      <c r="Y471" s="16">
        <v>117935</v>
      </c>
      <c r="Z471" s="1" t="s">
        <v>2728</v>
      </c>
      <c r="AA471" s="1" t="s">
        <v>2729</v>
      </c>
      <c r="AB471" s="1" t="s">
        <v>2730</v>
      </c>
      <c r="AC471" s="1" t="s">
        <v>2731</v>
      </c>
      <c r="AD471" s="1" t="s">
        <v>17</v>
      </c>
      <c r="AE471" s="1" t="s">
        <v>18</v>
      </c>
      <c r="AF471" s="1" t="s">
        <v>19</v>
      </c>
      <c r="AG471" s="1" t="s">
        <v>19</v>
      </c>
      <c r="AH471" s="16">
        <v>201499.91</v>
      </c>
    </row>
    <row r="472" spans="2:34" ht="15">
      <c r="B472" s="4" t="s">
        <v>20</v>
      </c>
      <c r="C472" s="5">
        <v>43787</v>
      </c>
      <c r="D472" s="4" t="s">
        <v>21</v>
      </c>
      <c r="E472" s="4" t="s">
        <v>2732</v>
      </c>
      <c r="F472" s="4" t="s">
        <v>3</v>
      </c>
      <c r="G472" s="4" t="s">
        <v>4</v>
      </c>
      <c r="H472" s="4" t="s">
        <v>119</v>
      </c>
      <c r="I472" s="5">
        <v>43784</v>
      </c>
      <c r="J472" s="6">
        <v>0.6539699074074075</v>
      </c>
      <c r="K472" s="5">
        <v>43788</v>
      </c>
      <c r="L472" s="4" t="s">
        <v>2256</v>
      </c>
      <c r="M472" s="4"/>
      <c r="N472" s="4" t="s">
        <v>1967</v>
      </c>
      <c r="O472" s="4" t="s">
        <v>1954</v>
      </c>
      <c r="P472" s="4" t="s">
        <v>2655</v>
      </c>
      <c r="Q472" s="4" t="s">
        <v>4</v>
      </c>
      <c r="R472" s="4" t="s">
        <v>4</v>
      </c>
      <c r="S472" s="4" t="s">
        <v>10</v>
      </c>
      <c r="T472" s="4"/>
      <c r="U472" s="4"/>
      <c r="V472" s="4"/>
      <c r="W472" s="4" t="s">
        <v>2258</v>
      </c>
      <c r="X472" s="17">
        <v>14742</v>
      </c>
      <c r="Y472" s="17">
        <v>14742</v>
      </c>
      <c r="Z472" s="4" t="s">
        <v>2734</v>
      </c>
      <c r="AA472" s="4" t="s">
        <v>2735</v>
      </c>
      <c r="AB472" s="4" t="s">
        <v>2736</v>
      </c>
      <c r="AC472" s="4" t="s">
        <v>2737</v>
      </c>
      <c r="AD472" s="4" t="s">
        <v>17</v>
      </c>
      <c r="AE472" s="4" t="s">
        <v>18</v>
      </c>
      <c r="AF472" s="4" t="s">
        <v>19</v>
      </c>
      <c r="AG472" s="4" t="s">
        <v>19</v>
      </c>
      <c r="AH472" s="17">
        <v>25304.53</v>
      </c>
    </row>
    <row r="473" spans="2:34" ht="15">
      <c r="B473" s="1" t="s">
        <v>0</v>
      </c>
      <c r="C473" s="2">
        <v>43787</v>
      </c>
      <c r="D473" s="1" t="s">
        <v>1</v>
      </c>
      <c r="E473" s="1" t="s">
        <v>2738</v>
      </c>
      <c r="F473" s="1" t="s">
        <v>3</v>
      </c>
      <c r="G473" s="1" t="s">
        <v>4</v>
      </c>
      <c r="H473" s="1" t="s">
        <v>119</v>
      </c>
      <c r="I473" s="2">
        <v>43784</v>
      </c>
      <c r="J473" s="3">
        <v>0.5686574074074074</v>
      </c>
      <c r="K473" s="2">
        <v>43788</v>
      </c>
      <c r="L473" s="1" t="s">
        <v>2256</v>
      </c>
      <c r="M473" s="1"/>
      <c r="N473" s="1" t="s">
        <v>1967</v>
      </c>
      <c r="O473" s="1" t="s">
        <v>1954</v>
      </c>
      <c r="P473" s="1" t="s">
        <v>2655</v>
      </c>
      <c r="Q473" s="1" t="s">
        <v>4</v>
      </c>
      <c r="R473" s="1" t="s">
        <v>4</v>
      </c>
      <c r="S473" s="1" t="s">
        <v>10</v>
      </c>
      <c r="T473" s="1"/>
      <c r="U473" s="1"/>
      <c r="V473" s="1"/>
      <c r="W473" s="1" t="s">
        <v>2258</v>
      </c>
      <c r="X473" s="16">
        <v>82065</v>
      </c>
      <c r="Y473" s="16">
        <v>82065</v>
      </c>
      <c r="Z473" s="1" t="s">
        <v>2728</v>
      </c>
      <c r="AA473" s="1" t="s">
        <v>2739</v>
      </c>
      <c r="AB473" s="1" t="s">
        <v>2740</v>
      </c>
      <c r="AC473" s="1" t="s">
        <v>2741</v>
      </c>
      <c r="AD473" s="1" t="s">
        <v>17</v>
      </c>
      <c r="AE473" s="1" t="s">
        <v>18</v>
      </c>
      <c r="AF473" s="1" t="s">
        <v>19</v>
      </c>
      <c r="AG473" s="1" t="s">
        <v>19</v>
      </c>
      <c r="AH473" s="16">
        <v>140213.29</v>
      </c>
    </row>
    <row r="474" spans="2:34" ht="15">
      <c r="B474" s="4" t="s">
        <v>0</v>
      </c>
      <c r="C474" s="5">
        <v>43787</v>
      </c>
      <c r="D474" s="4" t="s">
        <v>1</v>
      </c>
      <c r="E474" s="4" t="s">
        <v>2742</v>
      </c>
      <c r="F474" s="4" t="s">
        <v>3</v>
      </c>
      <c r="G474" s="4" t="s">
        <v>4</v>
      </c>
      <c r="H474" s="4" t="s">
        <v>119</v>
      </c>
      <c r="I474" s="5">
        <v>43784</v>
      </c>
      <c r="J474" s="6">
        <v>0.6539699074074075</v>
      </c>
      <c r="K474" s="5">
        <v>43788</v>
      </c>
      <c r="L474" s="4" t="s">
        <v>2256</v>
      </c>
      <c r="M474" s="4"/>
      <c r="N474" s="4" t="s">
        <v>1967</v>
      </c>
      <c r="O474" s="4" t="s">
        <v>1954</v>
      </c>
      <c r="P474" s="4" t="s">
        <v>2655</v>
      </c>
      <c r="Q474" s="4" t="s">
        <v>4</v>
      </c>
      <c r="R474" s="4" t="s">
        <v>4</v>
      </c>
      <c r="S474" s="4" t="s">
        <v>10</v>
      </c>
      <c r="T474" s="4"/>
      <c r="U474" s="4"/>
      <c r="V474" s="4"/>
      <c r="W474" s="4" t="s">
        <v>2258</v>
      </c>
      <c r="X474" s="17">
        <v>10258</v>
      </c>
      <c r="Y474" s="17">
        <v>10258</v>
      </c>
      <c r="Z474" s="4" t="s">
        <v>2734</v>
      </c>
      <c r="AA474" s="4" t="s">
        <v>2744</v>
      </c>
      <c r="AB474" s="4" t="s">
        <v>2745</v>
      </c>
      <c r="AC474" s="4" t="s">
        <v>2746</v>
      </c>
      <c r="AD474" s="4" t="s">
        <v>17</v>
      </c>
      <c r="AE474" s="4" t="s">
        <v>18</v>
      </c>
      <c r="AF474" s="4" t="s">
        <v>19</v>
      </c>
      <c r="AG474" s="4" t="s">
        <v>19</v>
      </c>
      <c r="AH474" s="17">
        <v>17607.47</v>
      </c>
    </row>
    <row r="475" spans="2:34" ht="15">
      <c r="B475" s="1" t="s">
        <v>20</v>
      </c>
      <c r="C475" s="2">
        <v>43788</v>
      </c>
      <c r="D475" s="1" t="s">
        <v>21</v>
      </c>
      <c r="E475" s="1" t="s">
        <v>2747</v>
      </c>
      <c r="F475" s="1" t="s">
        <v>3</v>
      </c>
      <c r="G475" s="1" t="s">
        <v>4</v>
      </c>
      <c r="H475" s="1" t="s">
        <v>632</v>
      </c>
      <c r="I475" s="2">
        <v>43787</v>
      </c>
      <c r="J475" s="3">
        <v>0.6528240740740741</v>
      </c>
      <c r="K475" s="2">
        <v>43789</v>
      </c>
      <c r="L475" s="1" t="s">
        <v>2256</v>
      </c>
      <c r="M475" s="1"/>
      <c r="N475" s="1" t="s">
        <v>2353</v>
      </c>
      <c r="O475" s="1" t="s">
        <v>2309</v>
      </c>
      <c r="P475" s="1" t="s">
        <v>2426</v>
      </c>
      <c r="Q475" s="1" t="s">
        <v>4</v>
      </c>
      <c r="R475" s="1" t="s">
        <v>4</v>
      </c>
      <c r="S475" s="1" t="s">
        <v>10</v>
      </c>
      <c r="T475" s="1"/>
      <c r="U475" s="1"/>
      <c r="V475" s="1"/>
      <c r="W475" s="1" t="s">
        <v>2258</v>
      </c>
      <c r="X475" s="16">
        <v>48972</v>
      </c>
      <c r="Y475" s="16">
        <v>48972</v>
      </c>
      <c r="Z475" s="1" t="s">
        <v>2312</v>
      </c>
      <c r="AA475" s="1" t="s">
        <v>2749</v>
      </c>
      <c r="AB475" s="1" t="s">
        <v>2750</v>
      </c>
      <c r="AC475" s="1" t="s">
        <v>2751</v>
      </c>
      <c r="AD475" s="1" t="s">
        <v>17</v>
      </c>
      <c r="AE475" s="1" t="s">
        <v>18</v>
      </c>
      <c r="AF475" s="1" t="s">
        <v>19</v>
      </c>
      <c r="AG475" s="1" t="s">
        <v>19</v>
      </c>
      <c r="AH475" s="16">
        <v>31767.14</v>
      </c>
    </row>
    <row r="476" spans="2:34" ht="15">
      <c r="B476" s="4" t="s">
        <v>20</v>
      </c>
      <c r="C476" s="5">
        <v>43788</v>
      </c>
      <c r="D476" s="4" t="s">
        <v>21</v>
      </c>
      <c r="E476" s="4" t="s">
        <v>2752</v>
      </c>
      <c r="F476" s="4" t="s">
        <v>3</v>
      </c>
      <c r="G476" s="4" t="s">
        <v>4</v>
      </c>
      <c r="H476" s="4" t="s">
        <v>632</v>
      </c>
      <c r="I476" s="5">
        <v>43787</v>
      </c>
      <c r="J476" s="6">
        <v>0.5877314814814815</v>
      </c>
      <c r="K476" s="5">
        <v>43789</v>
      </c>
      <c r="L476" s="4" t="s">
        <v>2256</v>
      </c>
      <c r="M476" s="4"/>
      <c r="N476" s="4" t="s">
        <v>2091</v>
      </c>
      <c r="O476" s="4" t="s">
        <v>2092</v>
      </c>
      <c r="P476" s="4" t="s">
        <v>2753</v>
      </c>
      <c r="Q476" s="4" t="s">
        <v>4</v>
      </c>
      <c r="R476" s="4" t="s">
        <v>4</v>
      </c>
      <c r="S476" s="4" t="s">
        <v>10</v>
      </c>
      <c r="T476" s="4"/>
      <c r="U476" s="4"/>
      <c r="V476" s="4"/>
      <c r="W476" s="4" t="s">
        <v>1963</v>
      </c>
      <c r="X476" s="17">
        <v>40000</v>
      </c>
      <c r="Y476" s="17">
        <v>40000</v>
      </c>
      <c r="Z476" s="4" t="s">
        <v>2754</v>
      </c>
      <c r="AA476" s="4" t="s">
        <v>2755</v>
      </c>
      <c r="AB476" s="4" t="s">
        <v>2756</v>
      </c>
      <c r="AC476" s="4" t="s">
        <v>2757</v>
      </c>
      <c r="AD476" s="4" t="s">
        <v>17</v>
      </c>
      <c r="AE476" s="4" t="s">
        <v>18</v>
      </c>
      <c r="AF476" s="4" t="s">
        <v>19</v>
      </c>
      <c r="AG476" s="4" t="s">
        <v>19</v>
      </c>
      <c r="AH476" s="17">
        <v>41684.2</v>
      </c>
    </row>
    <row r="477" spans="2:34" ht="15">
      <c r="B477" s="1" t="s">
        <v>20</v>
      </c>
      <c r="C477" s="2">
        <v>43788</v>
      </c>
      <c r="D477" s="1" t="s">
        <v>21</v>
      </c>
      <c r="E477" s="1" t="s">
        <v>701</v>
      </c>
      <c r="F477" s="1" t="s">
        <v>3</v>
      </c>
      <c r="G477" s="1" t="s">
        <v>4</v>
      </c>
      <c r="H477" s="1" t="s">
        <v>119</v>
      </c>
      <c r="I477" s="2">
        <v>43787</v>
      </c>
      <c r="J477" s="3">
        <v>0.4689583333333333</v>
      </c>
      <c r="K477" s="2">
        <v>43789</v>
      </c>
      <c r="L477" s="1" t="s">
        <v>2256</v>
      </c>
      <c r="M477" s="1"/>
      <c r="N477" s="1" t="s">
        <v>1967</v>
      </c>
      <c r="O477" s="1" t="s">
        <v>1954</v>
      </c>
      <c r="P477" s="1" t="s">
        <v>2655</v>
      </c>
      <c r="Q477" s="1" t="s">
        <v>4</v>
      </c>
      <c r="R477" s="1" t="s">
        <v>4</v>
      </c>
      <c r="S477" s="1" t="s">
        <v>10</v>
      </c>
      <c r="T477" s="1"/>
      <c r="U477" s="1"/>
      <c r="V477" s="1"/>
      <c r="W477" s="1" t="s">
        <v>2258</v>
      </c>
      <c r="X477" s="16">
        <v>103193</v>
      </c>
      <c r="Y477" s="16">
        <v>103193</v>
      </c>
      <c r="Z477" s="1" t="s">
        <v>2759</v>
      </c>
      <c r="AA477" s="1" t="s">
        <v>2760</v>
      </c>
      <c r="AB477" s="1" t="s">
        <v>2761</v>
      </c>
      <c r="AC477" s="1" t="s">
        <v>2762</v>
      </c>
      <c r="AD477" s="1" t="s">
        <v>17</v>
      </c>
      <c r="AE477" s="1" t="s">
        <v>18</v>
      </c>
      <c r="AF477" s="1" t="s">
        <v>19</v>
      </c>
      <c r="AG477" s="1" t="s">
        <v>19</v>
      </c>
      <c r="AH477" s="16">
        <v>178518.98</v>
      </c>
    </row>
    <row r="478" spans="2:34" ht="15">
      <c r="B478" s="4" t="s">
        <v>0</v>
      </c>
      <c r="C478" s="5">
        <v>43788</v>
      </c>
      <c r="D478" s="4" t="s">
        <v>1</v>
      </c>
      <c r="E478" s="4" t="s">
        <v>2763</v>
      </c>
      <c r="F478" s="4" t="s">
        <v>3</v>
      </c>
      <c r="G478" s="4" t="s">
        <v>4</v>
      </c>
      <c r="H478" s="4" t="s">
        <v>119</v>
      </c>
      <c r="I478" s="5">
        <v>43787</v>
      </c>
      <c r="J478" s="6">
        <v>0.4689583333333333</v>
      </c>
      <c r="K478" s="5">
        <v>43789</v>
      </c>
      <c r="L478" s="4" t="s">
        <v>2256</v>
      </c>
      <c r="M478" s="4"/>
      <c r="N478" s="4" t="s">
        <v>1967</v>
      </c>
      <c r="O478" s="4" t="s">
        <v>1954</v>
      </c>
      <c r="P478" s="4" t="s">
        <v>2655</v>
      </c>
      <c r="Q478" s="4" t="s">
        <v>4</v>
      </c>
      <c r="R478" s="4" t="s">
        <v>4</v>
      </c>
      <c r="S478" s="4" t="s">
        <v>10</v>
      </c>
      <c r="T478" s="4"/>
      <c r="U478" s="4"/>
      <c r="V478" s="4"/>
      <c r="W478" s="4" t="s">
        <v>2258</v>
      </c>
      <c r="X478" s="17">
        <v>71807</v>
      </c>
      <c r="Y478" s="17">
        <v>71807</v>
      </c>
      <c r="Z478" s="4" t="s">
        <v>2759</v>
      </c>
      <c r="AA478" s="4" t="s">
        <v>2765</v>
      </c>
      <c r="AB478" s="4" t="s">
        <v>2766</v>
      </c>
      <c r="AC478" s="4" t="s">
        <v>2767</v>
      </c>
      <c r="AD478" s="4" t="s">
        <v>17</v>
      </c>
      <c r="AE478" s="4" t="s">
        <v>18</v>
      </c>
      <c r="AF478" s="4" t="s">
        <v>19</v>
      </c>
      <c r="AG478" s="4" t="s">
        <v>19</v>
      </c>
      <c r="AH478" s="17">
        <v>124222.4</v>
      </c>
    </row>
    <row r="479" spans="2:34" ht="15">
      <c r="B479" s="1" t="s">
        <v>153</v>
      </c>
      <c r="C479" s="2">
        <v>43788</v>
      </c>
      <c r="D479" s="1" t="s">
        <v>154</v>
      </c>
      <c r="E479" s="1" t="s">
        <v>2768</v>
      </c>
      <c r="F479" s="1" t="s">
        <v>3</v>
      </c>
      <c r="G479" s="1" t="s">
        <v>4</v>
      </c>
      <c r="H479" s="1" t="s">
        <v>632</v>
      </c>
      <c r="I479" s="2">
        <v>43787</v>
      </c>
      <c r="J479" s="3">
        <v>0.6528240740740741</v>
      </c>
      <c r="K479" s="2">
        <v>43789</v>
      </c>
      <c r="L479" s="1" t="s">
        <v>2256</v>
      </c>
      <c r="M479" s="1"/>
      <c r="N479" s="1" t="s">
        <v>2353</v>
      </c>
      <c r="O479" s="1" t="s">
        <v>2309</v>
      </c>
      <c r="P479" s="1" t="s">
        <v>2426</v>
      </c>
      <c r="Q479" s="1" t="s">
        <v>4</v>
      </c>
      <c r="R479" s="1" t="s">
        <v>4</v>
      </c>
      <c r="S479" s="1" t="s">
        <v>10</v>
      </c>
      <c r="T479" s="1"/>
      <c r="U479" s="1"/>
      <c r="V479" s="1"/>
      <c r="W479" s="1" t="s">
        <v>2258</v>
      </c>
      <c r="X479" s="16">
        <v>1028</v>
      </c>
      <c r="Y479" s="16">
        <v>1028</v>
      </c>
      <c r="Z479" s="1" t="s">
        <v>2312</v>
      </c>
      <c r="AA479" s="1" t="s">
        <v>2770</v>
      </c>
      <c r="AB479" s="1" t="s">
        <v>2771</v>
      </c>
      <c r="AC479" s="1" t="s">
        <v>2772</v>
      </c>
      <c r="AD479" s="1" t="s">
        <v>17</v>
      </c>
      <c r="AE479" s="1" t="s">
        <v>17</v>
      </c>
      <c r="AF479" s="1" t="s">
        <v>19</v>
      </c>
      <c r="AG479" s="1" t="s">
        <v>19</v>
      </c>
      <c r="AH479" s="16">
        <v>666.86</v>
      </c>
    </row>
    <row r="480" spans="2:34" ht="15">
      <c r="B480" s="4" t="s">
        <v>20</v>
      </c>
      <c r="C480" s="5">
        <v>43790</v>
      </c>
      <c r="D480" s="4" t="s">
        <v>21</v>
      </c>
      <c r="E480" s="4" t="s">
        <v>2773</v>
      </c>
      <c r="F480" s="4" t="s">
        <v>3</v>
      </c>
      <c r="G480" s="4" t="s">
        <v>4</v>
      </c>
      <c r="H480" s="4" t="s">
        <v>914</v>
      </c>
      <c r="I480" s="5">
        <v>43789</v>
      </c>
      <c r="J480" s="6">
        <v>0.7247337962962963</v>
      </c>
      <c r="K480" s="5">
        <v>43791</v>
      </c>
      <c r="L480" s="4" t="s">
        <v>2256</v>
      </c>
      <c r="M480" s="4"/>
      <c r="N480" s="4" t="s">
        <v>1253</v>
      </c>
      <c r="O480" s="4" t="s">
        <v>1254</v>
      </c>
      <c r="P480" s="4" t="s">
        <v>2774</v>
      </c>
      <c r="Q480" s="4" t="s">
        <v>4</v>
      </c>
      <c r="R480" s="4" t="s">
        <v>4</v>
      </c>
      <c r="S480" s="4" t="s">
        <v>10</v>
      </c>
      <c r="T480" s="4"/>
      <c r="U480" s="4"/>
      <c r="V480" s="4"/>
      <c r="W480" s="4" t="s">
        <v>1963</v>
      </c>
      <c r="X480" s="17">
        <v>750000</v>
      </c>
      <c r="Y480" s="17">
        <v>750000</v>
      </c>
      <c r="Z480" s="4" t="s">
        <v>2775</v>
      </c>
      <c r="AA480" s="4" t="s">
        <v>2776</v>
      </c>
      <c r="AB480" s="4" t="s">
        <v>2777</v>
      </c>
      <c r="AC480" s="4" t="s">
        <v>2778</v>
      </c>
      <c r="AD480" s="4" t="s">
        <v>17</v>
      </c>
      <c r="AE480" s="4" t="s">
        <v>18</v>
      </c>
      <c r="AF480" s="4" t="s">
        <v>19</v>
      </c>
      <c r="AG480" s="4" t="s">
        <v>19</v>
      </c>
      <c r="AH480" s="17">
        <v>166834</v>
      </c>
    </row>
    <row r="481" spans="2:34" ht="15">
      <c r="B481" s="1" t="s">
        <v>153</v>
      </c>
      <c r="C481" s="2">
        <v>43790</v>
      </c>
      <c r="D481" s="1" t="s">
        <v>154</v>
      </c>
      <c r="E481" s="1" t="s">
        <v>2779</v>
      </c>
      <c r="F481" s="1" t="s">
        <v>3</v>
      </c>
      <c r="G481" s="1" t="s">
        <v>4</v>
      </c>
      <c r="H481" s="1" t="s">
        <v>119</v>
      </c>
      <c r="I481" s="2">
        <v>43789</v>
      </c>
      <c r="J481" s="3">
        <v>0.4714236111111111</v>
      </c>
      <c r="K481" s="2">
        <v>43791</v>
      </c>
      <c r="L481" s="1" t="s">
        <v>2256</v>
      </c>
      <c r="M481" s="1"/>
      <c r="N481" s="1" t="s">
        <v>278</v>
      </c>
      <c r="O481" s="1" t="s">
        <v>279</v>
      </c>
      <c r="P481" s="1" t="s">
        <v>2395</v>
      </c>
      <c r="Q481" s="1" t="s">
        <v>4</v>
      </c>
      <c r="R481" s="1" t="s">
        <v>4</v>
      </c>
      <c r="S481" s="1" t="s">
        <v>10</v>
      </c>
      <c r="T481" s="1"/>
      <c r="U481" s="1"/>
      <c r="V481" s="1"/>
      <c r="W481" s="1" t="s">
        <v>2258</v>
      </c>
      <c r="X481" s="16">
        <v>8000</v>
      </c>
      <c r="Y481" s="16">
        <v>8000</v>
      </c>
      <c r="Z481" s="1" t="s">
        <v>2780</v>
      </c>
      <c r="AA481" s="1" t="s">
        <v>2781</v>
      </c>
      <c r="AB481" s="1" t="s">
        <v>2782</v>
      </c>
      <c r="AC481" s="1" t="s">
        <v>2783</v>
      </c>
      <c r="AD481" s="1" t="s">
        <v>17</v>
      </c>
      <c r="AE481" s="1" t="s">
        <v>18</v>
      </c>
      <c r="AF481" s="1" t="s">
        <v>19</v>
      </c>
      <c r="AG481" s="1" t="s">
        <v>19</v>
      </c>
      <c r="AH481" s="16">
        <v>23519.86</v>
      </c>
    </row>
    <row r="482" spans="2:34" ht="15">
      <c r="B482" s="4" t="s">
        <v>153</v>
      </c>
      <c r="C482" s="5">
        <v>43790</v>
      </c>
      <c r="D482" s="4" t="s">
        <v>154</v>
      </c>
      <c r="E482" s="4" t="s">
        <v>2784</v>
      </c>
      <c r="F482" s="4" t="s">
        <v>3</v>
      </c>
      <c r="G482" s="4" t="s">
        <v>4</v>
      </c>
      <c r="H482" s="4" t="s">
        <v>90</v>
      </c>
      <c r="I482" s="5">
        <v>43789</v>
      </c>
      <c r="J482" s="6">
        <v>0.4828935185185185</v>
      </c>
      <c r="K482" s="5">
        <v>43791</v>
      </c>
      <c r="L482" s="4" t="s">
        <v>2256</v>
      </c>
      <c r="M482" s="4"/>
      <c r="N482" s="4" t="s">
        <v>260</v>
      </c>
      <c r="O482" s="4" t="s">
        <v>261</v>
      </c>
      <c r="P482" s="4" t="s">
        <v>2403</v>
      </c>
      <c r="Q482" s="4" t="s">
        <v>4</v>
      </c>
      <c r="R482" s="4" t="s">
        <v>4</v>
      </c>
      <c r="S482" s="4" t="s">
        <v>10</v>
      </c>
      <c r="T482" s="4"/>
      <c r="U482" s="4"/>
      <c r="V482" s="4"/>
      <c r="W482" s="4" t="s">
        <v>2258</v>
      </c>
      <c r="X482" s="17">
        <v>2200</v>
      </c>
      <c r="Y482" s="17">
        <v>2200</v>
      </c>
      <c r="Z482" s="4" t="s">
        <v>2785</v>
      </c>
      <c r="AA482" s="4" t="s">
        <v>2786</v>
      </c>
      <c r="AB482" s="4" t="s">
        <v>2787</v>
      </c>
      <c r="AC482" s="4" t="s">
        <v>2788</v>
      </c>
      <c r="AD482" s="4" t="s">
        <v>17</v>
      </c>
      <c r="AE482" s="4" t="s">
        <v>18</v>
      </c>
      <c r="AF482" s="4" t="s">
        <v>19</v>
      </c>
      <c r="AG482" s="4" t="s">
        <v>19</v>
      </c>
      <c r="AH482" s="17">
        <v>14270.4</v>
      </c>
    </row>
    <row r="483" spans="2:34" ht="15">
      <c r="B483" s="1" t="s">
        <v>20</v>
      </c>
      <c r="C483" s="2">
        <v>43791</v>
      </c>
      <c r="D483" s="1" t="s">
        <v>21</v>
      </c>
      <c r="E483" s="1" t="s">
        <v>2789</v>
      </c>
      <c r="F483" s="1" t="s">
        <v>3</v>
      </c>
      <c r="G483" s="1" t="s">
        <v>4</v>
      </c>
      <c r="H483" s="1" t="s">
        <v>1366</v>
      </c>
      <c r="I483" s="2">
        <v>43790</v>
      </c>
      <c r="J483" s="3">
        <v>0.6784722222222223</v>
      </c>
      <c r="K483" s="2">
        <v>43794</v>
      </c>
      <c r="L483" s="1" t="s">
        <v>2256</v>
      </c>
      <c r="M483" s="1"/>
      <c r="N483" s="1" t="s">
        <v>2790</v>
      </c>
      <c r="O483" s="1" t="s">
        <v>2791</v>
      </c>
      <c r="P483" s="1" t="s">
        <v>2792</v>
      </c>
      <c r="Q483" s="1" t="s">
        <v>4</v>
      </c>
      <c r="R483" s="1" t="s">
        <v>4</v>
      </c>
      <c r="S483" s="1" t="s">
        <v>10</v>
      </c>
      <c r="T483" s="1"/>
      <c r="U483" s="1"/>
      <c r="V483" s="1"/>
      <c r="W483" s="1" t="s">
        <v>1963</v>
      </c>
      <c r="X483" s="16">
        <v>1250000</v>
      </c>
      <c r="Y483" s="16">
        <v>1250000</v>
      </c>
      <c r="Z483" s="1" t="s">
        <v>2794</v>
      </c>
      <c r="AA483" s="1" t="s">
        <v>2795</v>
      </c>
      <c r="AB483" s="1" t="s">
        <v>2796</v>
      </c>
      <c r="AC483" s="1" t="s">
        <v>2797</v>
      </c>
      <c r="AD483" s="1" t="s">
        <v>17</v>
      </c>
      <c r="AE483" s="1" t="s">
        <v>18</v>
      </c>
      <c r="AF483" s="1" t="s">
        <v>19</v>
      </c>
      <c r="AG483" s="1" t="s">
        <v>19</v>
      </c>
      <c r="AH483" s="16">
        <v>1440376</v>
      </c>
    </row>
    <row r="484" spans="2:34" ht="15">
      <c r="B484" s="4" t="s">
        <v>20</v>
      </c>
      <c r="C484" s="5">
        <v>43791</v>
      </c>
      <c r="D484" s="4" t="s">
        <v>21</v>
      </c>
      <c r="E484" s="4" t="s">
        <v>2798</v>
      </c>
      <c r="F484" s="4" t="s">
        <v>3</v>
      </c>
      <c r="G484" s="4" t="s">
        <v>4</v>
      </c>
      <c r="H484" s="4" t="s">
        <v>183</v>
      </c>
      <c r="I484" s="5">
        <v>43790</v>
      </c>
      <c r="J484" s="6">
        <v>0.6930092592592593</v>
      </c>
      <c r="K484" s="5">
        <v>43794</v>
      </c>
      <c r="L484" s="4" t="s">
        <v>2256</v>
      </c>
      <c r="M484" s="4"/>
      <c r="N484" s="4" t="s">
        <v>1253</v>
      </c>
      <c r="O484" s="4" t="s">
        <v>1254</v>
      </c>
      <c r="P484" s="4" t="s">
        <v>2774</v>
      </c>
      <c r="Q484" s="4" t="s">
        <v>4</v>
      </c>
      <c r="R484" s="4" t="s">
        <v>4</v>
      </c>
      <c r="S484" s="4" t="s">
        <v>10</v>
      </c>
      <c r="T484" s="4"/>
      <c r="U484" s="4"/>
      <c r="V484" s="4"/>
      <c r="W484" s="4" t="s">
        <v>1963</v>
      </c>
      <c r="X484" s="17">
        <v>818635</v>
      </c>
      <c r="Y484" s="17">
        <v>818635</v>
      </c>
      <c r="Z484" s="4" t="s">
        <v>2800</v>
      </c>
      <c r="AA484" s="4" t="s">
        <v>2801</v>
      </c>
      <c r="AB484" s="4" t="s">
        <v>2802</v>
      </c>
      <c r="AC484" s="4" t="s">
        <v>2803</v>
      </c>
      <c r="AD484" s="4" t="s">
        <v>17</v>
      </c>
      <c r="AE484" s="4" t="s">
        <v>18</v>
      </c>
      <c r="AF484" s="4" t="s">
        <v>19</v>
      </c>
      <c r="AG484" s="4" t="s">
        <v>19</v>
      </c>
      <c r="AH484" s="17">
        <v>197015.63</v>
      </c>
    </row>
    <row r="485" spans="2:34" ht="15">
      <c r="B485" s="1" t="s">
        <v>0</v>
      </c>
      <c r="C485" s="2">
        <v>43794</v>
      </c>
      <c r="D485" s="1" t="s">
        <v>1</v>
      </c>
      <c r="E485" s="1" t="s">
        <v>1103</v>
      </c>
      <c r="F485" s="1" t="s">
        <v>3</v>
      </c>
      <c r="G485" s="1" t="s">
        <v>4</v>
      </c>
      <c r="H485" s="1" t="s">
        <v>2804</v>
      </c>
      <c r="I485" s="2">
        <v>43790</v>
      </c>
      <c r="J485" s="3">
        <v>0.613125</v>
      </c>
      <c r="K485" s="2">
        <v>43794</v>
      </c>
      <c r="L485" s="1" t="s">
        <v>2256</v>
      </c>
      <c r="M485" s="1"/>
      <c r="N485" s="1" t="s">
        <v>2805</v>
      </c>
      <c r="O485" s="1" t="s">
        <v>2806</v>
      </c>
      <c r="P485" s="1" t="s">
        <v>2807</v>
      </c>
      <c r="Q485" s="1" t="s">
        <v>4</v>
      </c>
      <c r="R485" s="1" t="s">
        <v>4</v>
      </c>
      <c r="S485" s="1" t="s">
        <v>4</v>
      </c>
      <c r="T485" s="1"/>
      <c r="U485" s="1"/>
      <c r="V485" s="1"/>
      <c r="W485" s="1" t="s">
        <v>1963</v>
      </c>
      <c r="X485" s="16">
        <v>194905</v>
      </c>
      <c r="Y485" s="16">
        <v>194905</v>
      </c>
      <c r="Z485" s="1" t="s">
        <v>2809</v>
      </c>
      <c r="AA485" s="1" t="s">
        <v>2810</v>
      </c>
      <c r="AB485" s="1" t="s">
        <v>2811</v>
      </c>
      <c r="AC485" s="1" t="s">
        <v>2812</v>
      </c>
      <c r="AD485" s="1" t="s">
        <v>17</v>
      </c>
      <c r="AE485" s="1" t="s">
        <v>2813</v>
      </c>
      <c r="AF485" s="1" t="s">
        <v>19</v>
      </c>
      <c r="AG485" s="1" t="s">
        <v>19</v>
      </c>
      <c r="AH485" s="16">
        <v>607617.64</v>
      </c>
    </row>
    <row r="486" spans="2:34" ht="15">
      <c r="B486" s="4" t="s">
        <v>20</v>
      </c>
      <c r="C486" s="5">
        <v>43794</v>
      </c>
      <c r="D486" s="4" t="s">
        <v>21</v>
      </c>
      <c r="E486" s="4" t="s">
        <v>2814</v>
      </c>
      <c r="F486" s="4" t="s">
        <v>3</v>
      </c>
      <c r="G486" s="4" t="s">
        <v>4</v>
      </c>
      <c r="H486" s="4" t="s">
        <v>183</v>
      </c>
      <c r="I486" s="5">
        <v>43791</v>
      </c>
      <c r="J486" s="6">
        <v>0.5423611111111111</v>
      </c>
      <c r="K486" s="5">
        <v>43795</v>
      </c>
      <c r="L486" s="4" t="s">
        <v>2256</v>
      </c>
      <c r="M486" s="4"/>
      <c r="N486" s="4" t="s">
        <v>1253</v>
      </c>
      <c r="O486" s="4" t="s">
        <v>1254</v>
      </c>
      <c r="P486" s="4" t="s">
        <v>2774</v>
      </c>
      <c r="Q486" s="4" t="s">
        <v>4</v>
      </c>
      <c r="R486" s="4" t="s">
        <v>4</v>
      </c>
      <c r="S486" s="4" t="s">
        <v>4</v>
      </c>
      <c r="T486" s="4"/>
      <c r="U486" s="4"/>
      <c r="V486" s="4"/>
      <c r="W486" s="4" t="s">
        <v>1963</v>
      </c>
      <c r="X486" s="17">
        <v>360048</v>
      </c>
      <c r="Y486" s="17">
        <v>360048</v>
      </c>
      <c r="Z486" s="4" t="s">
        <v>2816</v>
      </c>
      <c r="AA486" s="4" t="s">
        <v>2817</v>
      </c>
      <c r="AB486" s="4" t="s">
        <v>2818</v>
      </c>
      <c r="AC486" s="4" t="s">
        <v>2819</v>
      </c>
      <c r="AD486" s="4" t="s">
        <v>17</v>
      </c>
      <c r="AE486" s="4" t="s">
        <v>18</v>
      </c>
      <c r="AF486" s="4" t="s">
        <v>19</v>
      </c>
      <c r="AG486" s="4" t="s">
        <v>19</v>
      </c>
      <c r="AH486" s="17">
        <v>90193.02</v>
      </c>
    </row>
    <row r="487" spans="2:34" ht="15">
      <c r="B487" s="1" t="s">
        <v>20</v>
      </c>
      <c r="C487" s="2">
        <v>43794</v>
      </c>
      <c r="D487" s="1" t="s">
        <v>21</v>
      </c>
      <c r="E487" s="1" t="s">
        <v>2820</v>
      </c>
      <c r="F487" s="1" t="s">
        <v>3</v>
      </c>
      <c r="G487" s="1" t="s">
        <v>4</v>
      </c>
      <c r="H487" s="1" t="s">
        <v>119</v>
      </c>
      <c r="I487" s="2">
        <v>43791</v>
      </c>
      <c r="J487" s="3">
        <v>0.6922800925925926</v>
      </c>
      <c r="K487" s="2">
        <v>43795</v>
      </c>
      <c r="L487" s="1" t="s">
        <v>2256</v>
      </c>
      <c r="M487" s="1"/>
      <c r="N487" s="1" t="s">
        <v>977</v>
      </c>
      <c r="O487" s="1" t="s">
        <v>978</v>
      </c>
      <c r="P487" s="1" t="s">
        <v>2453</v>
      </c>
      <c r="Q487" s="1" t="s">
        <v>4</v>
      </c>
      <c r="R487" s="1" t="s">
        <v>4</v>
      </c>
      <c r="S487" s="1" t="s">
        <v>4</v>
      </c>
      <c r="T487" s="1"/>
      <c r="U487" s="1"/>
      <c r="V487" s="1"/>
      <c r="W487" s="1" t="s">
        <v>1963</v>
      </c>
      <c r="X487" s="16">
        <v>11898</v>
      </c>
      <c r="Y487" s="16">
        <v>11898</v>
      </c>
      <c r="Z487" s="1" t="s">
        <v>2822</v>
      </c>
      <c r="AA487" s="1" t="s">
        <v>2823</v>
      </c>
      <c r="AB487" s="1" t="s">
        <v>2824</v>
      </c>
      <c r="AC487" s="1" t="s">
        <v>2825</v>
      </c>
      <c r="AD487" s="1" t="s">
        <v>17</v>
      </c>
      <c r="AE487" s="1" t="s">
        <v>2826</v>
      </c>
      <c r="AF487" s="1" t="s">
        <v>19</v>
      </c>
      <c r="AG487" s="1" t="s">
        <v>19</v>
      </c>
      <c r="AH487" s="16">
        <v>31420.63</v>
      </c>
    </row>
    <row r="488" spans="2:34" ht="15">
      <c r="B488" s="4" t="s">
        <v>20</v>
      </c>
      <c r="C488" s="5">
        <v>43794</v>
      </c>
      <c r="D488" s="4" t="s">
        <v>21</v>
      </c>
      <c r="E488" s="4" t="s">
        <v>2827</v>
      </c>
      <c r="F488" s="4" t="s">
        <v>3</v>
      </c>
      <c r="G488" s="4" t="s">
        <v>4</v>
      </c>
      <c r="H488" s="4" t="s">
        <v>325</v>
      </c>
      <c r="I488" s="5">
        <v>43791</v>
      </c>
      <c r="J488" s="6">
        <v>0.6867824074074074</v>
      </c>
      <c r="K488" s="5">
        <v>43795</v>
      </c>
      <c r="L488" s="4" t="s">
        <v>2256</v>
      </c>
      <c r="M488" s="4"/>
      <c r="N488" s="4" t="s">
        <v>1082</v>
      </c>
      <c r="O488" s="4" t="s">
        <v>1065</v>
      </c>
      <c r="P488" s="4" t="s">
        <v>2828</v>
      </c>
      <c r="Q488" s="4" t="s">
        <v>4</v>
      </c>
      <c r="R488" s="4" t="s">
        <v>4</v>
      </c>
      <c r="S488" s="4" t="s">
        <v>4</v>
      </c>
      <c r="T488" s="4"/>
      <c r="U488" s="4"/>
      <c r="V488" s="4"/>
      <c r="W488" s="4" t="s">
        <v>1963</v>
      </c>
      <c r="X488" s="17">
        <v>712500</v>
      </c>
      <c r="Y488" s="17">
        <v>712500</v>
      </c>
      <c r="Z488" s="4" t="s">
        <v>2830</v>
      </c>
      <c r="AA488" s="4" t="s">
        <v>2831</v>
      </c>
      <c r="AB488" s="4" t="s">
        <v>2832</v>
      </c>
      <c r="AC488" s="4" t="s">
        <v>2833</v>
      </c>
      <c r="AD488" s="4" t="s">
        <v>17</v>
      </c>
      <c r="AE488" s="4" t="s">
        <v>18</v>
      </c>
      <c r="AF488" s="4" t="s">
        <v>19</v>
      </c>
      <c r="AG488" s="4" t="s">
        <v>19</v>
      </c>
      <c r="AH488" s="17">
        <v>1345749.63</v>
      </c>
    </row>
    <row r="489" spans="2:34" ht="15">
      <c r="B489" s="1" t="s">
        <v>20</v>
      </c>
      <c r="C489" s="2">
        <v>43794</v>
      </c>
      <c r="D489" s="1" t="s">
        <v>21</v>
      </c>
      <c r="E489" s="1" t="s">
        <v>2834</v>
      </c>
      <c r="F489" s="1" t="s">
        <v>3</v>
      </c>
      <c r="G489" s="1" t="s">
        <v>4</v>
      </c>
      <c r="H489" s="1" t="s">
        <v>1366</v>
      </c>
      <c r="I489" s="2">
        <v>43791</v>
      </c>
      <c r="J489" s="3">
        <v>0.6528819444444445</v>
      </c>
      <c r="K489" s="2">
        <v>43795</v>
      </c>
      <c r="L489" s="1" t="s">
        <v>2256</v>
      </c>
      <c r="M489" s="1"/>
      <c r="N489" s="1" t="s">
        <v>2790</v>
      </c>
      <c r="O489" s="1" t="s">
        <v>2791</v>
      </c>
      <c r="P489" s="1" t="s">
        <v>2792</v>
      </c>
      <c r="Q489" s="1" t="s">
        <v>4</v>
      </c>
      <c r="R489" s="1" t="s">
        <v>4</v>
      </c>
      <c r="S489" s="1" t="s">
        <v>4</v>
      </c>
      <c r="T489" s="1"/>
      <c r="U489" s="1"/>
      <c r="V489" s="1"/>
      <c r="W489" s="1" t="s">
        <v>1963</v>
      </c>
      <c r="X489" s="16">
        <v>125000</v>
      </c>
      <c r="Y489" s="16">
        <v>125000</v>
      </c>
      <c r="Z489" s="1" t="s">
        <v>2835</v>
      </c>
      <c r="AA489" s="1" t="s">
        <v>2836</v>
      </c>
      <c r="AB489" s="1" t="s">
        <v>2837</v>
      </c>
      <c r="AC489" s="1" t="s">
        <v>2838</v>
      </c>
      <c r="AD489" s="1" t="s">
        <v>17</v>
      </c>
      <c r="AE489" s="1" t="s">
        <v>18</v>
      </c>
      <c r="AF489" s="1" t="s">
        <v>19</v>
      </c>
      <c r="AG489" s="1" t="s">
        <v>19</v>
      </c>
      <c r="AH489" s="16">
        <v>153119.13</v>
      </c>
    </row>
    <row r="490" spans="2:34" ht="15">
      <c r="B490" s="4" t="s">
        <v>20</v>
      </c>
      <c r="C490" s="5">
        <v>43794</v>
      </c>
      <c r="D490" s="4" t="s">
        <v>21</v>
      </c>
      <c r="E490" s="4" t="s">
        <v>2839</v>
      </c>
      <c r="F490" s="4" t="s">
        <v>3</v>
      </c>
      <c r="G490" s="4" t="s">
        <v>4</v>
      </c>
      <c r="H490" s="4" t="s">
        <v>632</v>
      </c>
      <c r="I490" s="5">
        <v>43791</v>
      </c>
      <c r="J490" s="6">
        <v>0.6368055555555555</v>
      </c>
      <c r="K490" s="5">
        <v>43795</v>
      </c>
      <c r="L490" s="4" t="s">
        <v>2256</v>
      </c>
      <c r="M490" s="4"/>
      <c r="N490" s="4" t="s">
        <v>223</v>
      </c>
      <c r="O490" s="4" t="s">
        <v>224</v>
      </c>
      <c r="P490" s="4" t="s">
        <v>2840</v>
      </c>
      <c r="Q490" s="4" t="s">
        <v>4</v>
      </c>
      <c r="R490" s="4" t="s">
        <v>4</v>
      </c>
      <c r="S490" s="4" t="s">
        <v>4</v>
      </c>
      <c r="T490" s="4"/>
      <c r="U490" s="4"/>
      <c r="V490" s="4"/>
      <c r="W490" s="4" t="s">
        <v>1963</v>
      </c>
      <c r="X490" s="17">
        <v>100000</v>
      </c>
      <c r="Y490" s="17">
        <v>100000</v>
      </c>
      <c r="Z490" s="4" t="s">
        <v>2841</v>
      </c>
      <c r="AA490" s="4" t="s">
        <v>2842</v>
      </c>
      <c r="AB490" s="4" t="s">
        <v>2843</v>
      </c>
      <c r="AC490" s="4" t="s">
        <v>2844</v>
      </c>
      <c r="AD490" s="4" t="s">
        <v>17</v>
      </c>
      <c r="AE490" s="4" t="s">
        <v>2845</v>
      </c>
      <c r="AF490" s="4" t="s">
        <v>19</v>
      </c>
      <c r="AG490" s="4" t="s">
        <v>19</v>
      </c>
      <c r="AH490" s="17">
        <v>259809.58</v>
      </c>
    </row>
    <row r="491" spans="2:34" ht="15">
      <c r="B491" s="1" t="s">
        <v>20</v>
      </c>
      <c r="C491" s="2">
        <v>43794</v>
      </c>
      <c r="D491" s="1" t="s">
        <v>21</v>
      </c>
      <c r="E491" s="1" t="s">
        <v>2846</v>
      </c>
      <c r="F491" s="1" t="s">
        <v>3</v>
      </c>
      <c r="G491" s="1" t="s">
        <v>4</v>
      </c>
      <c r="H491" s="1" t="s">
        <v>23</v>
      </c>
      <c r="I491" s="2">
        <v>43791</v>
      </c>
      <c r="J491" s="3">
        <v>0.6457060185185185</v>
      </c>
      <c r="K491" s="2">
        <v>43795</v>
      </c>
      <c r="L491" s="1" t="s">
        <v>2256</v>
      </c>
      <c r="M491" s="1"/>
      <c r="N491" s="1" t="s">
        <v>2847</v>
      </c>
      <c r="O491" s="1" t="s">
        <v>2848</v>
      </c>
      <c r="P491" s="1" t="s">
        <v>2849</v>
      </c>
      <c r="Q491" s="1" t="s">
        <v>4</v>
      </c>
      <c r="R491" s="1" t="s">
        <v>4</v>
      </c>
      <c r="S491" s="1" t="s">
        <v>4</v>
      </c>
      <c r="T491" s="1"/>
      <c r="U491" s="1"/>
      <c r="V491" s="1"/>
      <c r="W491" s="1" t="s">
        <v>1963</v>
      </c>
      <c r="X491" s="16">
        <v>1750000</v>
      </c>
      <c r="Y491" s="16">
        <v>1750000</v>
      </c>
      <c r="Z491" s="1" t="s">
        <v>2851</v>
      </c>
      <c r="AA491" s="1" t="s">
        <v>2852</v>
      </c>
      <c r="AB491" s="1" t="s">
        <v>2853</v>
      </c>
      <c r="AC491" s="1" t="s">
        <v>2854</v>
      </c>
      <c r="AD491" s="1" t="s">
        <v>17</v>
      </c>
      <c r="AE491" s="1" t="s">
        <v>18</v>
      </c>
      <c r="AF491" s="1" t="s">
        <v>19</v>
      </c>
      <c r="AG491" s="1" t="s">
        <v>19</v>
      </c>
      <c r="AH491" s="16">
        <v>1087171</v>
      </c>
    </row>
    <row r="492" spans="2:34" ht="15">
      <c r="B492" s="4" t="s">
        <v>0</v>
      </c>
      <c r="C492" s="5">
        <v>43794</v>
      </c>
      <c r="D492" s="4" t="s">
        <v>1</v>
      </c>
      <c r="E492" s="4" t="s">
        <v>2855</v>
      </c>
      <c r="F492" s="4" t="s">
        <v>3</v>
      </c>
      <c r="G492" s="4" t="s">
        <v>4</v>
      </c>
      <c r="H492" s="4" t="s">
        <v>2804</v>
      </c>
      <c r="I492" s="5">
        <v>43789</v>
      </c>
      <c r="J492" s="6">
        <v>0.45902777777777776</v>
      </c>
      <c r="K492" s="5">
        <v>43791</v>
      </c>
      <c r="L492" s="4" t="s">
        <v>2256</v>
      </c>
      <c r="M492" s="4"/>
      <c r="N492" s="4" t="s">
        <v>2805</v>
      </c>
      <c r="O492" s="4" t="s">
        <v>2806</v>
      </c>
      <c r="P492" s="4" t="s">
        <v>2807</v>
      </c>
      <c r="Q492" s="4" t="s">
        <v>4</v>
      </c>
      <c r="R492" s="4" t="s">
        <v>4</v>
      </c>
      <c r="S492" s="4" t="s">
        <v>4</v>
      </c>
      <c r="T492" s="4"/>
      <c r="U492" s="4"/>
      <c r="V492" s="4"/>
      <c r="W492" s="4" t="s">
        <v>1963</v>
      </c>
      <c r="X492" s="17">
        <v>9206</v>
      </c>
      <c r="Y492" s="17">
        <v>194905</v>
      </c>
      <c r="Z492" s="4" t="s">
        <v>2857</v>
      </c>
      <c r="AA492" s="4" t="s">
        <v>2858</v>
      </c>
      <c r="AB492" s="4" t="s">
        <v>2859</v>
      </c>
      <c r="AC492" s="4" t="s">
        <v>2860</v>
      </c>
      <c r="AD492" s="4" t="s">
        <v>17</v>
      </c>
      <c r="AE492" s="4" t="s">
        <v>2861</v>
      </c>
      <c r="AF492" s="4" t="s">
        <v>19</v>
      </c>
      <c r="AG492" s="4" t="s">
        <v>19</v>
      </c>
      <c r="AH492" s="17">
        <v>28338.2402</v>
      </c>
    </row>
    <row r="493" spans="2:34" ht="15">
      <c r="B493" s="1" t="s">
        <v>20</v>
      </c>
      <c r="C493" s="2">
        <v>43794</v>
      </c>
      <c r="D493" s="1" t="s">
        <v>21</v>
      </c>
      <c r="E493" s="1" t="s">
        <v>2862</v>
      </c>
      <c r="F493" s="1" t="s">
        <v>3</v>
      </c>
      <c r="G493" s="1" t="s">
        <v>4</v>
      </c>
      <c r="H493" s="1" t="s">
        <v>23</v>
      </c>
      <c r="I493" s="2">
        <v>43791</v>
      </c>
      <c r="J493" s="3">
        <v>0.6450694444444445</v>
      </c>
      <c r="K493" s="2">
        <v>43795</v>
      </c>
      <c r="L493" s="1" t="s">
        <v>2256</v>
      </c>
      <c r="M493" s="1"/>
      <c r="N493" s="1" t="s">
        <v>174</v>
      </c>
      <c r="O493" s="1" t="s">
        <v>175</v>
      </c>
      <c r="P493" s="1" t="s">
        <v>2863</v>
      </c>
      <c r="Q493" s="1" t="s">
        <v>4</v>
      </c>
      <c r="R493" s="1" t="s">
        <v>4</v>
      </c>
      <c r="S493" s="1" t="s">
        <v>4</v>
      </c>
      <c r="T493" s="1"/>
      <c r="U493" s="1"/>
      <c r="V493" s="1"/>
      <c r="W493" s="1" t="s">
        <v>1963</v>
      </c>
      <c r="X493" s="16">
        <v>50000</v>
      </c>
      <c r="Y493" s="16">
        <v>194905</v>
      </c>
      <c r="Z493" s="1" t="s">
        <v>2864</v>
      </c>
      <c r="AA493" s="1" t="s">
        <v>1227</v>
      </c>
      <c r="AB493" s="1" t="s">
        <v>2865</v>
      </c>
      <c r="AC493" s="1" t="s">
        <v>2866</v>
      </c>
      <c r="AD493" s="1" t="s">
        <v>17</v>
      </c>
      <c r="AE493" s="1" t="s">
        <v>18</v>
      </c>
      <c r="AF493" s="1" t="s">
        <v>19</v>
      </c>
      <c r="AG493" s="1" t="s">
        <v>19</v>
      </c>
      <c r="AH493" s="16">
        <v>41083</v>
      </c>
    </row>
    <row r="494" spans="2:34" ht="15">
      <c r="B494" s="4" t="s">
        <v>20</v>
      </c>
      <c r="C494" s="5">
        <v>43794</v>
      </c>
      <c r="D494" s="4" t="s">
        <v>21</v>
      </c>
      <c r="E494" s="4" t="s">
        <v>2867</v>
      </c>
      <c r="F494" s="4" t="s">
        <v>3</v>
      </c>
      <c r="G494" s="4" t="s">
        <v>4</v>
      </c>
      <c r="H494" s="4" t="s">
        <v>119</v>
      </c>
      <c r="I494" s="5">
        <v>43791</v>
      </c>
      <c r="J494" s="6">
        <v>0.45902777777777776</v>
      </c>
      <c r="K494" s="5">
        <v>43795</v>
      </c>
      <c r="L494" s="4" t="s">
        <v>2256</v>
      </c>
      <c r="M494" s="4"/>
      <c r="N494" s="4" t="s">
        <v>1967</v>
      </c>
      <c r="O494" s="4" t="s">
        <v>1954</v>
      </c>
      <c r="P494" s="4" t="s">
        <v>2655</v>
      </c>
      <c r="Q494" s="4" t="s">
        <v>4</v>
      </c>
      <c r="R494" s="4" t="s">
        <v>4</v>
      </c>
      <c r="S494" s="4" t="s">
        <v>4</v>
      </c>
      <c r="T494" s="4"/>
      <c r="U494" s="4"/>
      <c r="V494" s="4"/>
      <c r="W494" s="4" t="s">
        <v>2258</v>
      </c>
      <c r="X494" s="17">
        <v>20639</v>
      </c>
      <c r="Y494" s="17">
        <v>194905</v>
      </c>
      <c r="Z494" s="4" t="s">
        <v>2868</v>
      </c>
      <c r="AA494" s="4" t="s">
        <v>2869</v>
      </c>
      <c r="AB494" s="4" t="s">
        <v>2870</v>
      </c>
      <c r="AC494" s="4" t="s">
        <v>2871</v>
      </c>
      <c r="AD494" s="4" t="s">
        <v>17</v>
      </c>
      <c r="AE494" s="4" t="s">
        <v>18</v>
      </c>
      <c r="AF494" s="4" t="s">
        <v>19</v>
      </c>
      <c r="AG494" s="4" t="s">
        <v>19</v>
      </c>
      <c r="AH494" s="17">
        <v>36456.97</v>
      </c>
    </row>
    <row r="495" spans="2:34" ht="15">
      <c r="B495" s="1" t="s">
        <v>0</v>
      </c>
      <c r="C495" s="2">
        <v>43794</v>
      </c>
      <c r="D495" s="1" t="s">
        <v>1</v>
      </c>
      <c r="E495" s="1" t="s">
        <v>2872</v>
      </c>
      <c r="F495" s="1" t="s">
        <v>3</v>
      </c>
      <c r="G495" s="1" t="s">
        <v>4</v>
      </c>
      <c r="H495" s="1" t="s">
        <v>119</v>
      </c>
      <c r="I495" s="2">
        <v>43791</v>
      </c>
      <c r="J495" s="3">
        <v>0.45902777777777776</v>
      </c>
      <c r="K495" s="2">
        <v>43795</v>
      </c>
      <c r="L495" s="1" t="s">
        <v>2256</v>
      </c>
      <c r="M495" s="1"/>
      <c r="N495" s="1" t="s">
        <v>1967</v>
      </c>
      <c r="O495" s="1" t="s">
        <v>1954</v>
      </c>
      <c r="P495" s="1" t="s">
        <v>2655</v>
      </c>
      <c r="Q495" s="1" t="s">
        <v>4</v>
      </c>
      <c r="R495" s="1" t="s">
        <v>4</v>
      </c>
      <c r="S495" s="1" t="s">
        <v>4</v>
      </c>
      <c r="T495" s="1"/>
      <c r="U495" s="1"/>
      <c r="V495" s="1"/>
      <c r="W495" s="1" t="s">
        <v>2258</v>
      </c>
      <c r="X495" s="16">
        <v>14361</v>
      </c>
      <c r="Y495" s="16">
        <v>194905</v>
      </c>
      <c r="Z495" s="1" t="s">
        <v>2868</v>
      </c>
      <c r="AA495" s="1" t="s">
        <v>2873</v>
      </c>
      <c r="AB495" s="1" t="s">
        <v>2874</v>
      </c>
      <c r="AC495" s="1" t="s">
        <v>2875</v>
      </c>
      <c r="AD495" s="1" t="s">
        <v>17</v>
      </c>
      <c r="AE495" s="1" t="s">
        <v>18</v>
      </c>
      <c r="AF495" s="1" t="s">
        <v>19</v>
      </c>
      <c r="AG495" s="1" t="s">
        <v>19</v>
      </c>
      <c r="AH495" s="16">
        <v>25367.13</v>
      </c>
    </row>
    <row r="496" spans="2:34" ht="15">
      <c r="B496" s="4" t="s">
        <v>20</v>
      </c>
      <c r="C496" s="5">
        <v>43795</v>
      </c>
      <c r="D496" s="4" t="s">
        <v>21</v>
      </c>
      <c r="E496" s="4" t="s">
        <v>2876</v>
      </c>
      <c r="F496" s="4" t="s">
        <v>3</v>
      </c>
      <c r="G496" s="4" t="s">
        <v>4</v>
      </c>
      <c r="H496" s="4" t="s">
        <v>1366</v>
      </c>
      <c r="I496" s="5">
        <v>43794</v>
      </c>
      <c r="J496" s="6">
        <v>0.45902777777777776</v>
      </c>
      <c r="K496" s="5">
        <v>43796</v>
      </c>
      <c r="L496" s="4" t="s">
        <v>2256</v>
      </c>
      <c r="M496" s="4"/>
      <c r="N496" s="4" t="s">
        <v>2790</v>
      </c>
      <c r="O496" s="4" t="s">
        <v>2791</v>
      </c>
      <c r="P496" s="4" t="s">
        <v>2792</v>
      </c>
      <c r="Q496" s="4" t="s">
        <v>4</v>
      </c>
      <c r="R496" s="4" t="s">
        <v>4</v>
      </c>
      <c r="S496" s="4" t="s">
        <v>4</v>
      </c>
      <c r="T496" s="4"/>
      <c r="U496" s="4"/>
      <c r="V496" s="4"/>
      <c r="W496" s="4" t="s">
        <v>1963</v>
      </c>
      <c r="X496" s="17">
        <v>85000</v>
      </c>
      <c r="Y496" s="17">
        <v>85000</v>
      </c>
      <c r="Z496" s="4" t="s">
        <v>2835</v>
      </c>
      <c r="AA496" s="4" t="s">
        <v>2878</v>
      </c>
      <c r="AB496" s="4" t="s">
        <v>2879</v>
      </c>
      <c r="AC496" s="4" t="s">
        <v>2880</v>
      </c>
      <c r="AD496" s="4" t="s">
        <v>17</v>
      </c>
      <c r="AE496" s="4" t="s">
        <v>18</v>
      </c>
      <c r="AF496" s="4" t="s">
        <v>19</v>
      </c>
      <c r="AG496" s="4" t="s">
        <v>19</v>
      </c>
      <c r="AH496" s="17">
        <v>104121.33</v>
      </c>
    </row>
    <row r="497" spans="2:34" ht="15">
      <c r="B497" s="1" t="s">
        <v>20</v>
      </c>
      <c r="C497" s="2">
        <v>43795</v>
      </c>
      <c r="D497" s="1" t="s">
        <v>21</v>
      </c>
      <c r="E497" s="1" t="s">
        <v>2881</v>
      </c>
      <c r="F497" s="1" t="s">
        <v>3</v>
      </c>
      <c r="G497" s="1" t="s">
        <v>4</v>
      </c>
      <c r="H497" s="1" t="s">
        <v>183</v>
      </c>
      <c r="I497" s="2">
        <v>43794</v>
      </c>
      <c r="J497" s="3">
        <v>0.6586689814814815</v>
      </c>
      <c r="K497" s="2">
        <v>43796</v>
      </c>
      <c r="L497" s="1" t="s">
        <v>2256</v>
      </c>
      <c r="M497" s="1"/>
      <c r="N497" s="1" t="s">
        <v>1253</v>
      </c>
      <c r="O497" s="1" t="s">
        <v>1254</v>
      </c>
      <c r="P497" s="1" t="s">
        <v>2774</v>
      </c>
      <c r="Q497" s="1" t="s">
        <v>4</v>
      </c>
      <c r="R497" s="1" t="s">
        <v>4</v>
      </c>
      <c r="S497" s="1" t="s">
        <v>4</v>
      </c>
      <c r="T497" s="1"/>
      <c r="U497" s="1"/>
      <c r="V497" s="1"/>
      <c r="W497" s="1" t="s">
        <v>1963</v>
      </c>
      <c r="X497" s="16">
        <v>1000000</v>
      </c>
      <c r="Y497" s="16">
        <v>1000000</v>
      </c>
      <c r="Z497" s="1" t="s">
        <v>2882</v>
      </c>
      <c r="AA497" s="1" t="s">
        <v>953</v>
      </c>
      <c r="AB497" s="1" t="s">
        <v>2883</v>
      </c>
      <c r="AC497" s="1" t="s">
        <v>2884</v>
      </c>
      <c r="AD497" s="1" t="s">
        <v>17</v>
      </c>
      <c r="AE497" s="1" t="s">
        <v>18</v>
      </c>
      <c r="AF497" s="1" t="s">
        <v>19</v>
      </c>
      <c r="AG497" s="1" t="s">
        <v>19</v>
      </c>
      <c r="AH497" s="16">
        <v>260521</v>
      </c>
    </row>
    <row r="498" spans="2:34" ht="15">
      <c r="B498" s="4" t="s">
        <v>20</v>
      </c>
      <c r="C498" s="5">
        <v>43796</v>
      </c>
      <c r="D498" s="4" t="s">
        <v>21</v>
      </c>
      <c r="E498" s="4" t="s">
        <v>2885</v>
      </c>
      <c r="F498" s="4" t="s">
        <v>3</v>
      </c>
      <c r="G498" s="4" t="s">
        <v>4</v>
      </c>
      <c r="H498" s="4" t="s">
        <v>1366</v>
      </c>
      <c r="I498" s="5">
        <v>43795</v>
      </c>
      <c r="J498" s="6">
        <v>0.3816203703703704</v>
      </c>
      <c r="K498" s="5">
        <v>43797</v>
      </c>
      <c r="L498" s="4" t="s">
        <v>2256</v>
      </c>
      <c r="M498" s="4"/>
      <c r="N498" s="4" t="s">
        <v>2790</v>
      </c>
      <c r="O498" s="4" t="s">
        <v>2791</v>
      </c>
      <c r="P498" s="4" t="s">
        <v>2792</v>
      </c>
      <c r="Q498" s="4" t="s">
        <v>4</v>
      </c>
      <c r="R498" s="4" t="s">
        <v>4</v>
      </c>
      <c r="S498" s="4" t="s">
        <v>4</v>
      </c>
      <c r="T498" s="4"/>
      <c r="U498" s="4"/>
      <c r="V498" s="4"/>
      <c r="W498" s="4" t="s">
        <v>1963</v>
      </c>
      <c r="X498" s="17">
        <v>150000</v>
      </c>
      <c r="Y498" s="17">
        <v>150000</v>
      </c>
      <c r="Z498" s="4" t="s">
        <v>2887</v>
      </c>
      <c r="AA498" s="4" t="s">
        <v>2888</v>
      </c>
      <c r="AB498" s="4" t="s">
        <v>2889</v>
      </c>
      <c r="AC498" s="4" t="s">
        <v>2890</v>
      </c>
      <c r="AD498" s="4" t="s">
        <v>17</v>
      </c>
      <c r="AE498" s="4" t="s">
        <v>18</v>
      </c>
      <c r="AF498" s="4" t="s">
        <v>19</v>
      </c>
      <c r="AG498" s="4" t="s">
        <v>19</v>
      </c>
      <c r="AH498" s="17">
        <v>186823.9</v>
      </c>
    </row>
    <row r="499" spans="2:34" ht="15">
      <c r="B499" s="1" t="s">
        <v>20</v>
      </c>
      <c r="C499" s="2">
        <v>43796</v>
      </c>
      <c r="D499" s="1" t="s">
        <v>21</v>
      </c>
      <c r="E499" s="1" t="s">
        <v>2891</v>
      </c>
      <c r="F499" s="1" t="s">
        <v>3</v>
      </c>
      <c r="G499" s="1" t="s">
        <v>4</v>
      </c>
      <c r="H499" s="1" t="s">
        <v>1366</v>
      </c>
      <c r="I499" s="2">
        <v>43795</v>
      </c>
      <c r="J499" s="3">
        <v>0.476875</v>
      </c>
      <c r="K499" s="2">
        <v>43797</v>
      </c>
      <c r="L499" s="1" t="s">
        <v>2256</v>
      </c>
      <c r="M499" s="1"/>
      <c r="N499" s="1" t="s">
        <v>2790</v>
      </c>
      <c r="O499" s="1" t="s">
        <v>2791</v>
      </c>
      <c r="P499" s="1" t="s">
        <v>2792</v>
      </c>
      <c r="Q499" s="1" t="s">
        <v>4</v>
      </c>
      <c r="R499" s="1" t="s">
        <v>4</v>
      </c>
      <c r="S499" s="1" t="s">
        <v>4</v>
      </c>
      <c r="T499" s="1"/>
      <c r="U499" s="1"/>
      <c r="V499" s="1"/>
      <c r="W499" s="1" t="s">
        <v>1963</v>
      </c>
      <c r="X499" s="16">
        <v>162500</v>
      </c>
      <c r="Y499" s="16">
        <v>162500</v>
      </c>
      <c r="Z499" s="1" t="s">
        <v>2887</v>
      </c>
      <c r="AA499" s="1" t="s">
        <v>2893</v>
      </c>
      <c r="AB499" s="1" t="s">
        <v>2894</v>
      </c>
      <c r="AC499" s="1" t="s">
        <v>2895</v>
      </c>
      <c r="AD499" s="1" t="s">
        <v>17</v>
      </c>
      <c r="AE499" s="1" t="s">
        <v>18</v>
      </c>
      <c r="AF499" s="1" t="s">
        <v>19</v>
      </c>
      <c r="AG499" s="1" t="s">
        <v>19</v>
      </c>
      <c r="AH499" s="16">
        <v>202392.48</v>
      </c>
    </row>
    <row r="500" spans="2:34" ht="15">
      <c r="B500" s="4" t="s">
        <v>20</v>
      </c>
      <c r="C500" s="5">
        <v>43797</v>
      </c>
      <c r="D500" s="4" t="s">
        <v>21</v>
      </c>
      <c r="E500" s="4" t="s">
        <v>2896</v>
      </c>
      <c r="F500" s="4" t="s">
        <v>3</v>
      </c>
      <c r="G500" s="4" t="s">
        <v>4</v>
      </c>
      <c r="H500" s="4" t="s">
        <v>183</v>
      </c>
      <c r="I500" s="5">
        <v>43796</v>
      </c>
      <c r="J500" s="6">
        <v>0.6908217592592593</v>
      </c>
      <c r="K500" s="5">
        <v>43798</v>
      </c>
      <c r="L500" s="4" t="s">
        <v>2256</v>
      </c>
      <c r="M500" s="4"/>
      <c r="N500" s="4" t="s">
        <v>1253</v>
      </c>
      <c r="O500" s="4" t="s">
        <v>1254</v>
      </c>
      <c r="P500" s="4" t="s">
        <v>2774</v>
      </c>
      <c r="Q500" s="4" t="s">
        <v>4</v>
      </c>
      <c r="R500" s="4" t="s">
        <v>4</v>
      </c>
      <c r="S500" s="4" t="s">
        <v>4</v>
      </c>
      <c r="T500" s="4"/>
      <c r="U500" s="4"/>
      <c r="V500" s="4"/>
      <c r="W500" s="4" t="s">
        <v>1963</v>
      </c>
      <c r="X500" s="17">
        <v>283000</v>
      </c>
      <c r="Y500" s="17">
        <v>283000</v>
      </c>
      <c r="Z500" s="4" t="s">
        <v>2898</v>
      </c>
      <c r="AA500" s="4" t="s">
        <v>2899</v>
      </c>
      <c r="AB500" s="4" t="s">
        <v>2900</v>
      </c>
      <c r="AC500" s="4" t="s">
        <v>2901</v>
      </c>
      <c r="AD500" s="4" t="s">
        <v>17</v>
      </c>
      <c r="AE500" s="4" t="s">
        <v>18</v>
      </c>
      <c r="AF500" s="4" t="s">
        <v>19</v>
      </c>
      <c r="AG500" s="4" t="s">
        <v>19</v>
      </c>
      <c r="AH500" s="17">
        <v>73620.69</v>
      </c>
    </row>
    <row r="501" spans="2:34" ht="15">
      <c r="B501" s="1" t="s">
        <v>20</v>
      </c>
      <c r="C501" s="2">
        <v>43797</v>
      </c>
      <c r="D501" s="1" t="s">
        <v>21</v>
      </c>
      <c r="E501" s="1" t="s">
        <v>2902</v>
      </c>
      <c r="F501" s="1" t="s">
        <v>3</v>
      </c>
      <c r="G501" s="1" t="s">
        <v>4</v>
      </c>
      <c r="H501" s="1" t="s">
        <v>119</v>
      </c>
      <c r="I501" s="2">
        <v>43796</v>
      </c>
      <c r="J501" s="3">
        <v>0.6059490740740741</v>
      </c>
      <c r="K501" s="2">
        <v>43798</v>
      </c>
      <c r="L501" s="1" t="s">
        <v>2256</v>
      </c>
      <c r="M501" s="1"/>
      <c r="N501" s="1" t="s">
        <v>977</v>
      </c>
      <c r="O501" s="1" t="s">
        <v>978</v>
      </c>
      <c r="P501" s="1" t="s">
        <v>2453</v>
      </c>
      <c r="Q501" s="1" t="s">
        <v>4</v>
      </c>
      <c r="R501" s="1" t="s">
        <v>4</v>
      </c>
      <c r="S501" s="1" t="s">
        <v>4</v>
      </c>
      <c r="T501" s="1"/>
      <c r="U501" s="1"/>
      <c r="V501" s="1"/>
      <c r="W501" s="1" t="s">
        <v>1963</v>
      </c>
      <c r="X501" s="16">
        <v>388102</v>
      </c>
      <c r="Y501" s="16">
        <v>388102</v>
      </c>
      <c r="Z501" s="1" t="s">
        <v>2904</v>
      </c>
      <c r="AA501" s="1" t="s">
        <v>2905</v>
      </c>
      <c r="AB501" s="1" t="s">
        <v>2906</v>
      </c>
      <c r="AC501" s="1" t="s">
        <v>2907</v>
      </c>
      <c r="AD501" s="1" t="s">
        <v>17</v>
      </c>
      <c r="AE501" s="1" t="s">
        <v>2908</v>
      </c>
      <c r="AF501" s="1" t="s">
        <v>19</v>
      </c>
      <c r="AG501" s="1" t="s">
        <v>19</v>
      </c>
      <c r="AH501" s="16">
        <v>1035574.96</v>
      </c>
    </row>
    <row r="502" spans="2:34" ht="15">
      <c r="B502" s="4" t="s">
        <v>20</v>
      </c>
      <c r="C502" s="5">
        <v>43797</v>
      </c>
      <c r="D502" s="4" t="s">
        <v>21</v>
      </c>
      <c r="E502" s="4" t="s">
        <v>2909</v>
      </c>
      <c r="F502" s="4" t="s">
        <v>3</v>
      </c>
      <c r="G502" s="4" t="s">
        <v>4</v>
      </c>
      <c r="H502" s="4" t="s">
        <v>632</v>
      </c>
      <c r="I502" s="5">
        <v>43796</v>
      </c>
      <c r="J502" s="6">
        <v>0.5819328703703703</v>
      </c>
      <c r="K502" s="5">
        <v>43798</v>
      </c>
      <c r="L502" s="4" t="s">
        <v>2256</v>
      </c>
      <c r="M502" s="4"/>
      <c r="N502" s="4" t="s">
        <v>508</v>
      </c>
      <c r="O502" s="4" t="s">
        <v>509</v>
      </c>
      <c r="P502" s="4" t="s">
        <v>2414</v>
      </c>
      <c r="Q502" s="4" t="s">
        <v>4</v>
      </c>
      <c r="R502" s="4" t="s">
        <v>4</v>
      </c>
      <c r="S502" s="4" t="s">
        <v>4</v>
      </c>
      <c r="T502" s="4"/>
      <c r="U502" s="4"/>
      <c r="V502" s="4"/>
      <c r="W502" s="4" t="s">
        <v>2258</v>
      </c>
      <c r="X502" s="17">
        <v>100000</v>
      </c>
      <c r="Y502" s="17">
        <v>100000</v>
      </c>
      <c r="Z502" s="4" t="s">
        <v>2910</v>
      </c>
      <c r="AA502" s="4" t="s">
        <v>2911</v>
      </c>
      <c r="AB502" s="4" t="s">
        <v>2912</v>
      </c>
      <c r="AC502" s="4" t="s">
        <v>2913</v>
      </c>
      <c r="AD502" s="4" t="s">
        <v>17</v>
      </c>
      <c r="AE502" s="4" t="s">
        <v>18</v>
      </c>
      <c r="AF502" s="4" t="s">
        <v>19</v>
      </c>
      <c r="AG502" s="4" t="s">
        <v>19</v>
      </c>
      <c r="AH502" s="17">
        <v>319858</v>
      </c>
    </row>
    <row r="503" spans="2:34" ht="15">
      <c r="B503" s="1" t="s">
        <v>20</v>
      </c>
      <c r="C503" s="2">
        <v>43797</v>
      </c>
      <c r="D503" s="1" t="s">
        <v>21</v>
      </c>
      <c r="E503" s="1" t="s">
        <v>2914</v>
      </c>
      <c r="F503" s="1" t="s">
        <v>3</v>
      </c>
      <c r="G503" s="1" t="s">
        <v>4</v>
      </c>
      <c r="H503" s="1" t="s">
        <v>1366</v>
      </c>
      <c r="I503" s="2">
        <v>43796</v>
      </c>
      <c r="J503" s="3">
        <v>0.4744675925925926</v>
      </c>
      <c r="K503" s="2">
        <v>43798</v>
      </c>
      <c r="L503" s="1" t="s">
        <v>2256</v>
      </c>
      <c r="M503" s="1"/>
      <c r="N503" s="1" t="s">
        <v>2790</v>
      </c>
      <c r="O503" s="1" t="s">
        <v>2791</v>
      </c>
      <c r="P503" s="1" t="s">
        <v>2792</v>
      </c>
      <c r="Q503" s="1" t="s">
        <v>4</v>
      </c>
      <c r="R503" s="1" t="s">
        <v>4</v>
      </c>
      <c r="S503" s="1" t="s">
        <v>4</v>
      </c>
      <c r="T503" s="1"/>
      <c r="U503" s="1"/>
      <c r="V503" s="1"/>
      <c r="W503" s="1" t="s">
        <v>1963</v>
      </c>
      <c r="X503" s="16">
        <v>236000</v>
      </c>
      <c r="Y503" s="16">
        <v>236000</v>
      </c>
      <c r="Z503" s="1" t="s">
        <v>880</v>
      </c>
      <c r="AA503" s="1" t="s">
        <v>2916</v>
      </c>
      <c r="AB503" s="1" t="s">
        <v>2917</v>
      </c>
      <c r="AC503" s="1" t="s">
        <v>2918</v>
      </c>
      <c r="AD503" s="1" t="s">
        <v>17</v>
      </c>
      <c r="AE503" s="1" t="s">
        <v>18</v>
      </c>
      <c r="AF503" s="1" t="s">
        <v>19</v>
      </c>
      <c r="AG503" s="1" t="s">
        <v>19</v>
      </c>
      <c r="AH503" s="16">
        <v>302685.16</v>
      </c>
    </row>
    <row r="504" spans="2:34" ht="15">
      <c r="B504" s="4" t="s">
        <v>20</v>
      </c>
      <c r="C504" s="5">
        <v>43798</v>
      </c>
      <c r="D504" s="4" t="s">
        <v>21</v>
      </c>
      <c r="E504" s="4" t="s">
        <v>2919</v>
      </c>
      <c r="F504" s="4" t="s">
        <v>3</v>
      </c>
      <c r="G504" s="4" t="s">
        <v>4</v>
      </c>
      <c r="H504" s="4" t="s">
        <v>325</v>
      </c>
      <c r="I504" s="5">
        <v>43798</v>
      </c>
      <c r="J504" s="6">
        <v>0.42440972222222223</v>
      </c>
      <c r="K504" s="5">
        <v>43802</v>
      </c>
      <c r="L504" s="4" t="s">
        <v>2256</v>
      </c>
      <c r="M504" s="4"/>
      <c r="N504" s="4" t="s">
        <v>2920</v>
      </c>
      <c r="O504" s="4" t="s">
        <v>2921</v>
      </c>
      <c r="P504" s="4" t="s">
        <v>2922</v>
      </c>
      <c r="Q504" s="4" t="s">
        <v>4</v>
      </c>
      <c r="R504" s="4" t="s">
        <v>4</v>
      </c>
      <c r="S504" s="4" t="s">
        <v>4</v>
      </c>
      <c r="T504" s="4"/>
      <c r="U504" s="4"/>
      <c r="V504" s="4"/>
      <c r="W504" s="4" t="s">
        <v>1963</v>
      </c>
      <c r="X504" s="17">
        <v>490103</v>
      </c>
      <c r="Y504" s="17">
        <v>490103</v>
      </c>
      <c r="Z504" s="4" t="s">
        <v>2924</v>
      </c>
      <c r="AA504" s="4" t="s">
        <v>2925</v>
      </c>
      <c r="AB504" s="4" t="s">
        <v>2926</v>
      </c>
      <c r="AC504" s="4" t="s">
        <v>2927</v>
      </c>
      <c r="AD504" s="4" t="s">
        <v>17</v>
      </c>
      <c r="AE504" s="4" t="s">
        <v>18</v>
      </c>
      <c r="AF504" s="4" t="s">
        <v>19</v>
      </c>
      <c r="AG504" s="4" t="s">
        <v>19</v>
      </c>
      <c r="AH504" s="17">
        <v>1152082.2</v>
      </c>
    </row>
    <row r="505" spans="2:34" ht="15">
      <c r="B505" s="1" t="s">
        <v>153</v>
      </c>
      <c r="C505" s="2">
        <v>43798</v>
      </c>
      <c r="D505" s="1" t="s">
        <v>154</v>
      </c>
      <c r="E505" s="1" t="s">
        <v>2928</v>
      </c>
      <c r="F505" s="1" t="s">
        <v>3</v>
      </c>
      <c r="G505" s="1" t="s">
        <v>4</v>
      </c>
      <c r="H505" s="1" t="s">
        <v>325</v>
      </c>
      <c r="I505" s="2">
        <v>43798</v>
      </c>
      <c r="J505" s="3">
        <v>0.42440972222222223</v>
      </c>
      <c r="K505" s="2">
        <v>43802</v>
      </c>
      <c r="L505" s="1" t="s">
        <v>2256</v>
      </c>
      <c r="M505" s="1"/>
      <c r="N505" s="1" t="s">
        <v>2920</v>
      </c>
      <c r="O505" s="1" t="s">
        <v>2921</v>
      </c>
      <c r="P505" s="1" t="s">
        <v>2922</v>
      </c>
      <c r="Q505" s="1" t="s">
        <v>4</v>
      </c>
      <c r="R505" s="1" t="s">
        <v>4</v>
      </c>
      <c r="S505" s="1" t="s">
        <v>4</v>
      </c>
      <c r="T505" s="1"/>
      <c r="U505" s="1"/>
      <c r="V505" s="1"/>
      <c r="W505" s="1" t="s">
        <v>1963</v>
      </c>
      <c r="X505" s="16">
        <v>9897</v>
      </c>
      <c r="Y505" s="16">
        <v>9897</v>
      </c>
      <c r="Z505" s="1" t="s">
        <v>2924</v>
      </c>
      <c r="AA505" s="1" t="s">
        <v>2930</v>
      </c>
      <c r="AB505" s="1" t="s">
        <v>2931</v>
      </c>
      <c r="AC505" s="1" t="s">
        <v>416</v>
      </c>
      <c r="AD505" s="1" t="s">
        <v>17</v>
      </c>
      <c r="AE505" s="1" t="s">
        <v>18</v>
      </c>
      <c r="AF505" s="1" t="s">
        <v>19</v>
      </c>
      <c r="AG505" s="1" t="s">
        <v>19</v>
      </c>
      <c r="AH505" s="16">
        <v>23265.8</v>
      </c>
    </row>
    <row r="506" spans="2:34" ht="15">
      <c r="B506" s="4" t="s">
        <v>20</v>
      </c>
      <c r="C506" s="5">
        <v>43798</v>
      </c>
      <c r="D506" s="4" t="s">
        <v>21</v>
      </c>
      <c r="E506" s="4" t="s">
        <v>2919</v>
      </c>
      <c r="F506" s="4" t="s">
        <v>3</v>
      </c>
      <c r="G506" s="4" t="s">
        <v>4</v>
      </c>
      <c r="H506" s="4" t="s">
        <v>2804</v>
      </c>
      <c r="I506" s="5">
        <v>43798</v>
      </c>
      <c r="J506" s="6">
        <v>0.42440972222222223</v>
      </c>
      <c r="K506" s="5">
        <v>43802</v>
      </c>
      <c r="L506" s="4" t="s">
        <v>2256</v>
      </c>
      <c r="M506" s="4"/>
      <c r="N506" s="4" t="s">
        <v>2920</v>
      </c>
      <c r="O506" s="4" t="s">
        <v>2921</v>
      </c>
      <c r="P506" s="4" t="s">
        <v>2922</v>
      </c>
      <c r="Q506" s="4" t="s">
        <v>4</v>
      </c>
      <c r="R506" s="4" t="s">
        <v>85</v>
      </c>
      <c r="S506" s="4" t="s">
        <v>4</v>
      </c>
      <c r="T506" s="4"/>
      <c r="U506" s="4"/>
      <c r="V506" s="4"/>
      <c r="W506" s="4" t="s">
        <v>1963</v>
      </c>
      <c r="X506" s="17">
        <v>245052</v>
      </c>
      <c r="Y506" s="17">
        <v>245052</v>
      </c>
      <c r="Z506" s="4" t="s">
        <v>1498</v>
      </c>
      <c r="AA506" s="4" t="s">
        <v>2933</v>
      </c>
      <c r="AB506" s="4" t="s">
        <v>2933</v>
      </c>
      <c r="AC506" s="4" t="s">
        <v>17</v>
      </c>
      <c r="AD506" s="4" t="s">
        <v>17</v>
      </c>
      <c r="AE506" s="4" t="s">
        <v>17</v>
      </c>
      <c r="AF506" s="4" t="s">
        <v>19</v>
      </c>
      <c r="AG506" s="4" t="s">
        <v>19</v>
      </c>
      <c r="AH506" s="17">
        <v>514609.2</v>
      </c>
    </row>
    <row r="507" spans="2:34" ht="15">
      <c r="B507" s="1" t="s">
        <v>153</v>
      </c>
      <c r="C507" s="2">
        <v>43798</v>
      </c>
      <c r="D507" s="1" t="s">
        <v>154</v>
      </c>
      <c r="E507" s="1" t="s">
        <v>2928</v>
      </c>
      <c r="F507" s="1" t="s">
        <v>3</v>
      </c>
      <c r="G507" s="1" t="s">
        <v>4</v>
      </c>
      <c r="H507" s="1" t="s">
        <v>2804</v>
      </c>
      <c r="I507" s="2">
        <v>43798</v>
      </c>
      <c r="J507" s="3">
        <v>0.42440972222222223</v>
      </c>
      <c r="K507" s="2">
        <v>43802</v>
      </c>
      <c r="L507" s="1" t="s">
        <v>2256</v>
      </c>
      <c r="M507" s="1"/>
      <c r="N507" s="1" t="s">
        <v>2920</v>
      </c>
      <c r="O507" s="1" t="s">
        <v>2921</v>
      </c>
      <c r="P507" s="1" t="s">
        <v>2922</v>
      </c>
      <c r="Q507" s="1" t="s">
        <v>4</v>
      </c>
      <c r="R507" s="1" t="s">
        <v>85</v>
      </c>
      <c r="S507" s="1" t="s">
        <v>4</v>
      </c>
      <c r="T507" s="1"/>
      <c r="U507" s="1"/>
      <c r="V507" s="1"/>
      <c r="W507" s="1" t="s">
        <v>1963</v>
      </c>
      <c r="X507" s="16">
        <v>4949</v>
      </c>
      <c r="Y507" s="16">
        <v>4949</v>
      </c>
      <c r="Z507" s="1" t="s">
        <v>1498</v>
      </c>
      <c r="AA507" s="1" t="s">
        <v>2935</v>
      </c>
      <c r="AB507" s="1" t="s">
        <v>2935</v>
      </c>
      <c r="AC507" s="1" t="s">
        <v>17</v>
      </c>
      <c r="AD507" s="1" t="s">
        <v>17</v>
      </c>
      <c r="AE507" s="1" t="s">
        <v>17</v>
      </c>
      <c r="AF507" s="1" t="s">
        <v>19</v>
      </c>
      <c r="AG507" s="1" t="s">
        <v>19</v>
      </c>
      <c r="AH507" s="16">
        <v>10392.9</v>
      </c>
    </row>
    <row r="508" spans="2:34" ht="15">
      <c r="B508" s="4" t="s">
        <v>0</v>
      </c>
      <c r="C508" s="5">
        <v>43798</v>
      </c>
      <c r="D508" s="4" t="s">
        <v>1</v>
      </c>
      <c r="E508" s="4" t="s">
        <v>2937</v>
      </c>
      <c r="F508" s="4" t="s">
        <v>3</v>
      </c>
      <c r="G508" s="4" t="s">
        <v>4</v>
      </c>
      <c r="H508" s="4" t="s">
        <v>2804</v>
      </c>
      <c r="I508" s="5">
        <v>43796</v>
      </c>
      <c r="J508" s="6">
        <v>0.5133333333333333</v>
      </c>
      <c r="K508" s="5">
        <v>43798</v>
      </c>
      <c r="L508" s="4" t="s">
        <v>2256</v>
      </c>
      <c r="M508" s="4"/>
      <c r="N508" s="4" t="s">
        <v>2938</v>
      </c>
      <c r="O508" s="4" t="s">
        <v>2939</v>
      </c>
      <c r="P508" s="4" t="s">
        <v>2940</v>
      </c>
      <c r="Q508" s="4" t="s">
        <v>4</v>
      </c>
      <c r="R508" s="4" t="s">
        <v>4</v>
      </c>
      <c r="S508" s="4" t="s">
        <v>4</v>
      </c>
      <c r="T508" s="4"/>
      <c r="U508" s="4"/>
      <c r="V508" s="4"/>
      <c r="W508" s="4" t="s">
        <v>2258</v>
      </c>
      <c r="X508" s="17">
        <v>163288</v>
      </c>
      <c r="Y508" s="17">
        <v>163288</v>
      </c>
      <c r="Z508" s="4" t="s">
        <v>2942</v>
      </c>
      <c r="AA508" s="4" t="s">
        <v>2943</v>
      </c>
      <c r="AB508" s="4" t="s">
        <v>2944</v>
      </c>
      <c r="AC508" s="4" t="s">
        <v>2945</v>
      </c>
      <c r="AD508" s="4" t="s">
        <v>17</v>
      </c>
      <c r="AE508" s="4" t="s">
        <v>18</v>
      </c>
      <c r="AF508" s="4" t="s">
        <v>19</v>
      </c>
      <c r="AG508" s="4" t="s">
        <v>19</v>
      </c>
      <c r="AH508" s="17">
        <v>527682.9232</v>
      </c>
    </row>
    <row r="509" spans="2:34" ht="15">
      <c r="B509" s="1" t="s">
        <v>20</v>
      </c>
      <c r="C509" s="2">
        <v>43801</v>
      </c>
      <c r="D509" s="1" t="s">
        <v>21</v>
      </c>
      <c r="E509" s="1" t="s">
        <v>2947</v>
      </c>
      <c r="F509" s="1" t="s">
        <v>3</v>
      </c>
      <c r="G509" s="1" t="s">
        <v>4</v>
      </c>
      <c r="H509" s="1" t="s">
        <v>325</v>
      </c>
      <c r="I509" s="2">
        <v>43798</v>
      </c>
      <c r="J509" s="3">
        <v>0.5354166666666667</v>
      </c>
      <c r="K509" s="2">
        <v>43802</v>
      </c>
      <c r="L509" s="1" t="s">
        <v>2256</v>
      </c>
      <c r="M509" s="1"/>
      <c r="N509" s="1" t="s">
        <v>2920</v>
      </c>
      <c r="O509" s="1" t="s">
        <v>2921</v>
      </c>
      <c r="P509" s="1" t="s">
        <v>2922</v>
      </c>
      <c r="Q509" s="1" t="s">
        <v>4</v>
      </c>
      <c r="R509" s="1" t="s">
        <v>4</v>
      </c>
      <c r="S509" s="1" t="s">
        <v>10</v>
      </c>
      <c r="T509" s="1"/>
      <c r="U509" s="1"/>
      <c r="V509" s="1"/>
      <c r="W509" s="1" t="s">
        <v>1963</v>
      </c>
      <c r="X509" s="16">
        <v>913435</v>
      </c>
      <c r="Y509" s="16">
        <v>913435</v>
      </c>
      <c r="Z509" s="1" t="s">
        <v>2949</v>
      </c>
      <c r="AA509" s="1" t="s">
        <v>2950</v>
      </c>
      <c r="AB509" s="1" t="s">
        <v>2951</v>
      </c>
      <c r="AC509" s="1" t="s">
        <v>2952</v>
      </c>
      <c r="AD509" s="1" t="s">
        <v>17</v>
      </c>
      <c r="AE509" s="1" t="s">
        <v>18</v>
      </c>
      <c r="AF509" s="1" t="s">
        <v>19</v>
      </c>
      <c r="AG509" s="1" t="s">
        <v>19</v>
      </c>
      <c r="AH509" s="16">
        <v>2140750.01</v>
      </c>
    </row>
    <row r="510" spans="2:34" ht="15">
      <c r="B510" s="4" t="s">
        <v>20</v>
      </c>
      <c r="C510" s="5">
        <v>43801</v>
      </c>
      <c r="D510" s="4" t="s">
        <v>21</v>
      </c>
      <c r="E510" s="4" t="s">
        <v>2953</v>
      </c>
      <c r="F510" s="4" t="s">
        <v>3</v>
      </c>
      <c r="G510" s="4" t="s">
        <v>4</v>
      </c>
      <c r="H510" s="4" t="s">
        <v>23</v>
      </c>
      <c r="I510" s="5">
        <v>43798</v>
      </c>
      <c r="J510" s="6">
        <v>0.6909722222222222</v>
      </c>
      <c r="K510" s="5">
        <v>43802</v>
      </c>
      <c r="L510" s="4" t="s">
        <v>2256</v>
      </c>
      <c r="M510" s="4"/>
      <c r="N510" s="4" t="s">
        <v>661</v>
      </c>
      <c r="O510" s="4" t="s">
        <v>621</v>
      </c>
      <c r="P510" s="4" t="s">
        <v>2954</v>
      </c>
      <c r="Q510" s="4" t="s">
        <v>4</v>
      </c>
      <c r="R510" s="4" t="s">
        <v>4</v>
      </c>
      <c r="S510" s="4" t="s">
        <v>10</v>
      </c>
      <c r="T510" s="4"/>
      <c r="U510" s="4"/>
      <c r="V510" s="4"/>
      <c r="W510" s="4" t="s">
        <v>1963</v>
      </c>
      <c r="X510" s="17">
        <v>100000</v>
      </c>
      <c r="Y510" s="17">
        <v>100000</v>
      </c>
      <c r="Z510" s="4" t="s">
        <v>2955</v>
      </c>
      <c r="AA510" s="4" t="s">
        <v>2956</v>
      </c>
      <c r="AB510" s="4" t="s">
        <v>2957</v>
      </c>
      <c r="AC510" s="4" t="s">
        <v>2958</v>
      </c>
      <c r="AD510" s="4" t="s">
        <v>17</v>
      </c>
      <c r="AE510" s="4" t="s">
        <v>18</v>
      </c>
      <c r="AF510" s="4" t="s">
        <v>19</v>
      </c>
      <c r="AG510" s="4" t="s">
        <v>19</v>
      </c>
      <c r="AH510" s="17">
        <v>92185</v>
      </c>
    </row>
    <row r="511" spans="2:34" ht="15">
      <c r="B511" s="1" t="s">
        <v>0</v>
      </c>
      <c r="C511" s="2">
        <v>43801</v>
      </c>
      <c r="D511" s="1" t="s">
        <v>1</v>
      </c>
      <c r="E511" s="1" t="s">
        <v>2959</v>
      </c>
      <c r="F511" s="1" t="s">
        <v>3</v>
      </c>
      <c r="G511" s="1" t="s">
        <v>4</v>
      </c>
      <c r="H511" s="1" t="s">
        <v>119</v>
      </c>
      <c r="I511" s="2">
        <v>43798</v>
      </c>
      <c r="J511" s="3">
        <v>0.5854861111111112</v>
      </c>
      <c r="K511" s="2">
        <v>43802</v>
      </c>
      <c r="L511" s="1" t="s">
        <v>2256</v>
      </c>
      <c r="M511" s="1"/>
      <c r="N511" s="1" t="s">
        <v>214</v>
      </c>
      <c r="O511" s="1" t="s">
        <v>215</v>
      </c>
      <c r="P511" s="1" t="s">
        <v>2960</v>
      </c>
      <c r="Q511" s="1" t="s">
        <v>4</v>
      </c>
      <c r="R511" s="1" t="s">
        <v>4</v>
      </c>
      <c r="S511" s="1" t="s">
        <v>10</v>
      </c>
      <c r="T511" s="1"/>
      <c r="U511" s="1"/>
      <c r="V511" s="1"/>
      <c r="W511" s="1" t="s">
        <v>1963</v>
      </c>
      <c r="X511" s="16">
        <v>34371</v>
      </c>
      <c r="Y511" s="16">
        <v>34371</v>
      </c>
      <c r="Z511" s="1" t="s">
        <v>2962</v>
      </c>
      <c r="AA511" s="1" t="s">
        <v>2963</v>
      </c>
      <c r="AB511" s="1" t="s">
        <v>2964</v>
      </c>
      <c r="AC511" s="1" t="s">
        <v>2965</v>
      </c>
      <c r="AD511" s="1" t="s">
        <v>17</v>
      </c>
      <c r="AE511" s="1" t="s">
        <v>2966</v>
      </c>
      <c r="AF511" s="1" t="s">
        <v>19</v>
      </c>
      <c r="AG511" s="1" t="s">
        <v>19</v>
      </c>
      <c r="AH511" s="16">
        <v>88296.06184</v>
      </c>
    </row>
    <row r="512" spans="2:34" ht="15">
      <c r="B512" s="4" t="s">
        <v>0</v>
      </c>
      <c r="C512" s="5">
        <v>43801</v>
      </c>
      <c r="D512" s="4" t="s">
        <v>1</v>
      </c>
      <c r="E512" s="4" t="s">
        <v>2967</v>
      </c>
      <c r="F512" s="4" t="s">
        <v>3</v>
      </c>
      <c r="G512" s="4" t="s">
        <v>4</v>
      </c>
      <c r="H512" s="4" t="s">
        <v>119</v>
      </c>
      <c r="I512" s="5">
        <v>43798</v>
      </c>
      <c r="J512" s="6">
        <v>0.5851157407407407</v>
      </c>
      <c r="K512" s="5">
        <v>43802</v>
      </c>
      <c r="L512" s="4" t="s">
        <v>2256</v>
      </c>
      <c r="M512" s="4"/>
      <c r="N512" s="4" t="s">
        <v>214</v>
      </c>
      <c r="O512" s="4" t="s">
        <v>215</v>
      </c>
      <c r="P512" s="4" t="s">
        <v>2960</v>
      </c>
      <c r="Q512" s="4" t="s">
        <v>4</v>
      </c>
      <c r="R512" s="4" t="s">
        <v>4</v>
      </c>
      <c r="S512" s="4" t="s">
        <v>10</v>
      </c>
      <c r="T512" s="4"/>
      <c r="U512" s="4"/>
      <c r="V512" s="4"/>
      <c r="W512" s="4" t="s">
        <v>1963</v>
      </c>
      <c r="X512" s="17">
        <v>2505</v>
      </c>
      <c r="Y512" s="17">
        <v>2505</v>
      </c>
      <c r="Z512" s="4" t="s">
        <v>2495</v>
      </c>
      <c r="AA512" s="4" t="s">
        <v>2969</v>
      </c>
      <c r="AB512" s="4" t="s">
        <v>2970</v>
      </c>
      <c r="AC512" s="4" t="s">
        <v>2971</v>
      </c>
      <c r="AD512" s="4" t="s">
        <v>17</v>
      </c>
      <c r="AE512" s="4" t="s">
        <v>2972</v>
      </c>
      <c r="AF512" s="4" t="s">
        <v>19</v>
      </c>
      <c r="AG512" s="4" t="s">
        <v>19</v>
      </c>
      <c r="AH512" s="17">
        <v>6356.8452</v>
      </c>
    </row>
    <row r="513" spans="2:34" ht="15">
      <c r="B513" s="1" t="s">
        <v>153</v>
      </c>
      <c r="C513" s="2">
        <v>43801</v>
      </c>
      <c r="D513" s="1" t="s">
        <v>154</v>
      </c>
      <c r="E513" s="1" t="s">
        <v>2974</v>
      </c>
      <c r="F513" s="1" t="s">
        <v>3</v>
      </c>
      <c r="G513" s="1" t="s">
        <v>4</v>
      </c>
      <c r="H513" s="1" t="s">
        <v>325</v>
      </c>
      <c r="I513" s="2">
        <v>43798</v>
      </c>
      <c r="J513" s="3">
        <v>0.5354166666666667</v>
      </c>
      <c r="K513" s="2">
        <v>43802</v>
      </c>
      <c r="L513" s="1" t="s">
        <v>2256</v>
      </c>
      <c r="M513" s="1"/>
      <c r="N513" s="1" t="s">
        <v>2920</v>
      </c>
      <c r="O513" s="1" t="s">
        <v>2921</v>
      </c>
      <c r="P513" s="1" t="s">
        <v>2922</v>
      </c>
      <c r="Q513" s="1" t="s">
        <v>4</v>
      </c>
      <c r="R513" s="1" t="s">
        <v>4</v>
      </c>
      <c r="S513" s="1" t="s">
        <v>10</v>
      </c>
      <c r="T513" s="1"/>
      <c r="U513" s="1"/>
      <c r="V513" s="1"/>
      <c r="W513" s="1" t="s">
        <v>1963</v>
      </c>
      <c r="X513" s="16">
        <v>18445</v>
      </c>
      <c r="Y513" s="16">
        <v>18445</v>
      </c>
      <c r="Z513" s="1" t="s">
        <v>2949</v>
      </c>
      <c r="AA513" s="1" t="s">
        <v>2976</v>
      </c>
      <c r="AB513" s="1" t="s">
        <v>2977</v>
      </c>
      <c r="AC513" s="1" t="s">
        <v>2978</v>
      </c>
      <c r="AD513" s="1" t="s">
        <v>17</v>
      </c>
      <c r="AE513" s="1" t="s">
        <v>18</v>
      </c>
      <c r="AF513" s="1" t="s">
        <v>19</v>
      </c>
      <c r="AG513" s="1" t="s">
        <v>19</v>
      </c>
      <c r="AH513" s="16">
        <v>43229.16</v>
      </c>
    </row>
    <row r="514" spans="2:34" ht="15">
      <c r="B514" s="4" t="s">
        <v>153</v>
      </c>
      <c r="C514" s="5">
        <v>43801</v>
      </c>
      <c r="D514" s="4" t="s">
        <v>154</v>
      </c>
      <c r="E514" s="4" t="s">
        <v>2979</v>
      </c>
      <c r="F514" s="4" t="s">
        <v>3</v>
      </c>
      <c r="G514" s="4" t="s">
        <v>4</v>
      </c>
      <c r="H514" s="4" t="s">
        <v>119</v>
      </c>
      <c r="I514" s="5">
        <v>43798</v>
      </c>
      <c r="J514" s="6">
        <v>0.5854861111111112</v>
      </c>
      <c r="K514" s="5">
        <v>43802</v>
      </c>
      <c r="L514" s="4" t="s">
        <v>2256</v>
      </c>
      <c r="M514" s="4"/>
      <c r="N514" s="4" t="s">
        <v>214</v>
      </c>
      <c r="O514" s="4" t="s">
        <v>215</v>
      </c>
      <c r="P514" s="4" t="s">
        <v>2960</v>
      </c>
      <c r="Q514" s="4" t="s">
        <v>4</v>
      </c>
      <c r="R514" s="4" t="s">
        <v>4</v>
      </c>
      <c r="S514" s="4" t="s">
        <v>10</v>
      </c>
      <c r="T514" s="4"/>
      <c r="U514" s="4"/>
      <c r="V514" s="4"/>
      <c r="W514" s="4" t="s">
        <v>1963</v>
      </c>
      <c r="X514" s="17">
        <v>2505</v>
      </c>
      <c r="Y514" s="17">
        <v>2505</v>
      </c>
      <c r="Z514" s="4" t="s">
        <v>2962</v>
      </c>
      <c r="AA514" s="4" t="s">
        <v>2980</v>
      </c>
      <c r="AB514" s="4" t="s">
        <v>2981</v>
      </c>
      <c r="AC514" s="4" t="s">
        <v>2982</v>
      </c>
      <c r="AD514" s="4" t="s">
        <v>17</v>
      </c>
      <c r="AE514" s="4" t="s">
        <v>2983</v>
      </c>
      <c r="AF514" s="4" t="s">
        <v>19</v>
      </c>
      <c r="AG514" s="4" t="s">
        <v>19</v>
      </c>
      <c r="AH514" s="17">
        <v>6435.05551</v>
      </c>
    </row>
    <row r="515" spans="2:34" ht="15">
      <c r="B515" s="11" t="s">
        <v>153</v>
      </c>
      <c r="C515" s="12">
        <v>43801</v>
      </c>
      <c r="D515" s="11" t="s">
        <v>154</v>
      </c>
      <c r="E515" s="11" t="s">
        <v>2984</v>
      </c>
      <c r="F515" s="11" t="s">
        <v>3</v>
      </c>
      <c r="G515" s="11" t="s">
        <v>4</v>
      </c>
      <c r="H515" s="11" t="s">
        <v>119</v>
      </c>
      <c r="I515" s="12">
        <v>43798</v>
      </c>
      <c r="J515" s="13">
        <v>0.5851157407407407</v>
      </c>
      <c r="K515" s="12">
        <v>43802</v>
      </c>
      <c r="L515" s="11" t="s">
        <v>2256</v>
      </c>
      <c r="M515" s="11"/>
      <c r="N515" s="11" t="s">
        <v>214</v>
      </c>
      <c r="O515" s="11" t="s">
        <v>215</v>
      </c>
      <c r="P515" s="11" t="s">
        <v>2960</v>
      </c>
      <c r="Q515" s="11" t="s">
        <v>4</v>
      </c>
      <c r="R515" s="11" t="s">
        <v>4</v>
      </c>
      <c r="S515" s="11" t="s">
        <v>10</v>
      </c>
      <c r="T515" s="11"/>
      <c r="U515" s="11"/>
      <c r="V515" s="11"/>
      <c r="W515" s="11" t="s">
        <v>1963</v>
      </c>
      <c r="X515" s="19">
        <v>182</v>
      </c>
      <c r="Y515" s="19">
        <v>182</v>
      </c>
      <c r="Z515" s="11" t="s">
        <v>2495</v>
      </c>
      <c r="AA515" s="11" t="s">
        <v>2986</v>
      </c>
      <c r="AB515" s="11" t="s">
        <v>2987</v>
      </c>
      <c r="AC515" s="11" t="s">
        <v>2988</v>
      </c>
      <c r="AD515" s="11" t="s">
        <v>17</v>
      </c>
      <c r="AE515" s="11" t="s">
        <v>2989</v>
      </c>
      <c r="AF515" s="11" t="s">
        <v>19</v>
      </c>
      <c r="AG515" s="11" t="s">
        <v>19</v>
      </c>
      <c r="AH515" s="19">
        <v>461.85728</v>
      </c>
    </row>
    <row r="516" spans="2:34" ht="15">
      <c r="B516" s="1" t="s">
        <v>20</v>
      </c>
      <c r="C516" s="2">
        <v>43801</v>
      </c>
      <c r="D516" s="1" t="s">
        <v>21</v>
      </c>
      <c r="E516" s="1" t="s">
        <v>2947</v>
      </c>
      <c r="F516" s="1" t="s">
        <v>3</v>
      </c>
      <c r="G516" s="1" t="s">
        <v>4</v>
      </c>
      <c r="H516" s="1" t="s">
        <v>325</v>
      </c>
      <c r="I516" s="2">
        <v>43798</v>
      </c>
      <c r="J516" s="3">
        <v>0.5354166666666667</v>
      </c>
      <c r="K516" s="2">
        <v>43802</v>
      </c>
      <c r="L516" s="1" t="s">
        <v>2256</v>
      </c>
      <c r="M516" s="1"/>
      <c r="N516" s="1" t="s">
        <v>2920</v>
      </c>
      <c r="O516" s="1" t="s">
        <v>2921</v>
      </c>
      <c r="P516" s="1" t="s">
        <v>2922</v>
      </c>
      <c r="Q516" s="1" t="s">
        <v>4</v>
      </c>
      <c r="R516" s="1" t="s">
        <v>4</v>
      </c>
      <c r="S516" s="1" t="s">
        <v>10</v>
      </c>
      <c r="T516" s="1"/>
      <c r="U516" s="1"/>
      <c r="V516" s="1"/>
      <c r="W516" s="1" t="s">
        <v>1963</v>
      </c>
      <c r="X516" s="16">
        <v>913435</v>
      </c>
      <c r="Y516" s="16">
        <v>913435</v>
      </c>
      <c r="Z516" s="1" t="s">
        <v>2949</v>
      </c>
      <c r="AA516" s="1" t="s">
        <v>2950</v>
      </c>
      <c r="AB516" s="1" t="s">
        <v>2951</v>
      </c>
      <c r="AC516" s="1" t="s">
        <v>2952</v>
      </c>
      <c r="AD516" s="1" t="s">
        <v>17</v>
      </c>
      <c r="AE516" s="1" t="s">
        <v>18</v>
      </c>
      <c r="AF516" s="1" t="s">
        <v>19</v>
      </c>
      <c r="AG516" s="1" t="s">
        <v>19</v>
      </c>
      <c r="AH516" s="16">
        <v>2140750.01</v>
      </c>
    </row>
    <row r="517" spans="2:34" ht="15">
      <c r="B517" s="4" t="s">
        <v>20</v>
      </c>
      <c r="C517" s="5">
        <v>43801</v>
      </c>
      <c r="D517" s="4" t="s">
        <v>21</v>
      </c>
      <c r="E517" s="4" t="s">
        <v>2953</v>
      </c>
      <c r="F517" s="4" t="s">
        <v>3</v>
      </c>
      <c r="G517" s="4" t="s">
        <v>4</v>
      </c>
      <c r="H517" s="4" t="s">
        <v>23</v>
      </c>
      <c r="I517" s="5">
        <v>43798</v>
      </c>
      <c r="J517" s="6">
        <v>0.6909722222222222</v>
      </c>
      <c r="K517" s="5">
        <v>43802</v>
      </c>
      <c r="L517" s="4" t="s">
        <v>2256</v>
      </c>
      <c r="M517" s="4"/>
      <c r="N517" s="4" t="s">
        <v>661</v>
      </c>
      <c r="O517" s="4" t="s">
        <v>621</v>
      </c>
      <c r="P517" s="4" t="s">
        <v>2954</v>
      </c>
      <c r="Q517" s="4" t="s">
        <v>4</v>
      </c>
      <c r="R517" s="4" t="s">
        <v>4</v>
      </c>
      <c r="S517" s="4" t="s">
        <v>10</v>
      </c>
      <c r="T517" s="4"/>
      <c r="U517" s="4"/>
      <c r="V517" s="4"/>
      <c r="W517" s="4" t="s">
        <v>1963</v>
      </c>
      <c r="X517" s="17">
        <v>100000</v>
      </c>
      <c r="Y517" s="17">
        <v>100000</v>
      </c>
      <c r="Z517" s="4" t="s">
        <v>2955</v>
      </c>
      <c r="AA517" s="4" t="s">
        <v>2956</v>
      </c>
      <c r="AB517" s="4" t="s">
        <v>2957</v>
      </c>
      <c r="AC517" s="4" t="s">
        <v>2958</v>
      </c>
      <c r="AD517" s="4" t="s">
        <v>17</v>
      </c>
      <c r="AE517" s="4" t="s">
        <v>18</v>
      </c>
      <c r="AF517" s="4" t="s">
        <v>19</v>
      </c>
      <c r="AG517" s="4" t="s">
        <v>19</v>
      </c>
      <c r="AH517" s="17">
        <v>92185</v>
      </c>
    </row>
    <row r="518" spans="2:34" ht="15">
      <c r="B518" s="1" t="s">
        <v>0</v>
      </c>
      <c r="C518" s="2">
        <v>43801</v>
      </c>
      <c r="D518" s="1" t="s">
        <v>1</v>
      </c>
      <c r="E518" s="1" t="s">
        <v>2959</v>
      </c>
      <c r="F518" s="1" t="s">
        <v>3</v>
      </c>
      <c r="G518" s="1" t="s">
        <v>4</v>
      </c>
      <c r="H518" s="1" t="s">
        <v>119</v>
      </c>
      <c r="I518" s="2">
        <v>43798</v>
      </c>
      <c r="J518" s="3">
        <v>0.5854861111111112</v>
      </c>
      <c r="K518" s="2">
        <v>43802</v>
      </c>
      <c r="L518" s="1" t="s">
        <v>2256</v>
      </c>
      <c r="M518" s="1"/>
      <c r="N518" s="1" t="s">
        <v>214</v>
      </c>
      <c r="O518" s="1" t="s">
        <v>215</v>
      </c>
      <c r="P518" s="1" t="s">
        <v>2960</v>
      </c>
      <c r="Q518" s="1" t="s">
        <v>4</v>
      </c>
      <c r="R518" s="1" t="s">
        <v>4</v>
      </c>
      <c r="S518" s="1" t="s">
        <v>10</v>
      </c>
      <c r="T518" s="1"/>
      <c r="U518" s="1"/>
      <c r="V518" s="1"/>
      <c r="W518" s="1" t="s">
        <v>1963</v>
      </c>
      <c r="X518" s="16">
        <v>34371</v>
      </c>
      <c r="Y518" s="16">
        <v>34371</v>
      </c>
      <c r="Z518" s="1" t="s">
        <v>2962</v>
      </c>
      <c r="AA518" s="1" t="s">
        <v>2963</v>
      </c>
      <c r="AB518" s="1" t="s">
        <v>2964</v>
      </c>
      <c r="AC518" s="1" t="s">
        <v>2965</v>
      </c>
      <c r="AD518" s="1" t="s">
        <v>17</v>
      </c>
      <c r="AE518" s="1" t="s">
        <v>2966</v>
      </c>
      <c r="AF518" s="1" t="s">
        <v>19</v>
      </c>
      <c r="AG518" s="1" t="s">
        <v>19</v>
      </c>
      <c r="AH518" s="16">
        <v>88296.06184</v>
      </c>
    </row>
    <row r="519" spans="2:34" ht="15">
      <c r="B519" s="4" t="s">
        <v>0</v>
      </c>
      <c r="C519" s="5">
        <v>43801</v>
      </c>
      <c r="D519" s="4" t="s">
        <v>1</v>
      </c>
      <c r="E519" s="4" t="s">
        <v>2967</v>
      </c>
      <c r="F519" s="4" t="s">
        <v>3</v>
      </c>
      <c r="G519" s="4" t="s">
        <v>4</v>
      </c>
      <c r="H519" s="4" t="s">
        <v>119</v>
      </c>
      <c r="I519" s="5">
        <v>43798</v>
      </c>
      <c r="J519" s="6">
        <v>0.5851157407407407</v>
      </c>
      <c r="K519" s="5">
        <v>43802</v>
      </c>
      <c r="L519" s="4" t="s">
        <v>2256</v>
      </c>
      <c r="M519" s="4"/>
      <c r="N519" s="4" t="s">
        <v>214</v>
      </c>
      <c r="O519" s="4" t="s">
        <v>215</v>
      </c>
      <c r="P519" s="4" t="s">
        <v>2960</v>
      </c>
      <c r="Q519" s="4" t="s">
        <v>4</v>
      </c>
      <c r="R519" s="4" t="s">
        <v>4</v>
      </c>
      <c r="S519" s="4" t="s">
        <v>10</v>
      </c>
      <c r="T519" s="4"/>
      <c r="U519" s="4"/>
      <c r="V519" s="4"/>
      <c r="W519" s="4" t="s">
        <v>1963</v>
      </c>
      <c r="X519" s="17">
        <v>2505</v>
      </c>
      <c r="Y519" s="17">
        <v>2505</v>
      </c>
      <c r="Z519" s="4" t="s">
        <v>2495</v>
      </c>
      <c r="AA519" s="4" t="s">
        <v>2969</v>
      </c>
      <c r="AB519" s="4" t="s">
        <v>2970</v>
      </c>
      <c r="AC519" s="4" t="s">
        <v>2971</v>
      </c>
      <c r="AD519" s="4" t="s">
        <v>17</v>
      </c>
      <c r="AE519" s="4" t="s">
        <v>2972</v>
      </c>
      <c r="AF519" s="4" t="s">
        <v>19</v>
      </c>
      <c r="AG519" s="4" t="s">
        <v>19</v>
      </c>
      <c r="AH519" s="17">
        <v>6356.8452</v>
      </c>
    </row>
    <row r="520" spans="2:34" ht="15">
      <c r="B520" s="1" t="s">
        <v>153</v>
      </c>
      <c r="C520" s="2">
        <v>43801</v>
      </c>
      <c r="D520" s="1" t="s">
        <v>154</v>
      </c>
      <c r="E520" s="1" t="s">
        <v>2974</v>
      </c>
      <c r="F520" s="1" t="s">
        <v>3</v>
      </c>
      <c r="G520" s="1" t="s">
        <v>4</v>
      </c>
      <c r="H520" s="1" t="s">
        <v>325</v>
      </c>
      <c r="I520" s="2">
        <v>43798</v>
      </c>
      <c r="J520" s="3">
        <v>0.5354166666666667</v>
      </c>
      <c r="K520" s="2">
        <v>43802</v>
      </c>
      <c r="L520" s="1" t="s">
        <v>2256</v>
      </c>
      <c r="M520" s="1"/>
      <c r="N520" s="1" t="s">
        <v>2920</v>
      </c>
      <c r="O520" s="1" t="s">
        <v>2921</v>
      </c>
      <c r="P520" s="1" t="s">
        <v>2922</v>
      </c>
      <c r="Q520" s="1" t="s">
        <v>4</v>
      </c>
      <c r="R520" s="1" t="s">
        <v>4</v>
      </c>
      <c r="S520" s="1" t="s">
        <v>10</v>
      </c>
      <c r="T520" s="1"/>
      <c r="U520" s="1"/>
      <c r="V520" s="1"/>
      <c r="W520" s="1" t="s">
        <v>1963</v>
      </c>
      <c r="X520" s="16">
        <v>18445</v>
      </c>
      <c r="Y520" s="16">
        <v>18445</v>
      </c>
      <c r="Z520" s="1" t="s">
        <v>2949</v>
      </c>
      <c r="AA520" s="1" t="s">
        <v>2976</v>
      </c>
      <c r="AB520" s="1" t="s">
        <v>2977</v>
      </c>
      <c r="AC520" s="1" t="s">
        <v>2978</v>
      </c>
      <c r="AD520" s="1" t="s">
        <v>17</v>
      </c>
      <c r="AE520" s="1" t="s">
        <v>18</v>
      </c>
      <c r="AF520" s="1" t="s">
        <v>19</v>
      </c>
      <c r="AG520" s="1" t="s">
        <v>19</v>
      </c>
      <c r="AH520" s="16">
        <v>43229.16</v>
      </c>
    </row>
    <row r="521" spans="2:34" ht="15">
      <c r="B521" s="4" t="s">
        <v>153</v>
      </c>
      <c r="C521" s="5">
        <v>43801</v>
      </c>
      <c r="D521" s="4" t="s">
        <v>154</v>
      </c>
      <c r="E521" s="4" t="s">
        <v>2979</v>
      </c>
      <c r="F521" s="4" t="s">
        <v>3</v>
      </c>
      <c r="G521" s="4" t="s">
        <v>4</v>
      </c>
      <c r="H521" s="4" t="s">
        <v>119</v>
      </c>
      <c r="I521" s="5">
        <v>43798</v>
      </c>
      <c r="J521" s="6">
        <v>0.5854861111111112</v>
      </c>
      <c r="K521" s="5">
        <v>43802</v>
      </c>
      <c r="L521" s="4" t="s">
        <v>2256</v>
      </c>
      <c r="M521" s="4"/>
      <c r="N521" s="4" t="s">
        <v>214</v>
      </c>
      <c r="O521" s="4" t="s">
        <v>215</v>
      </c>
      <c r="P521" s="4" t="s">
        <v>2960</v>
      </c>
      <c r="Q521" s="4" t="s">
        <v>4</v>
      </c>
      <c r="R521" s="4" t="s">
        <v>4</v>
      </c>
      <c r="S521" s="4" t="s">
        <v>10</v>
      </c>
      <c r="T521" s="4"/>
      <c r="U521" s="4"/>
      <c r="V521" s="4"/>
      <c r="W521" s="4" t="s">
        <v>1963</v>
      </c>
      <c r="X521" s="17">
        <v>2505</v>
      </c>
      <c r="Y521" s="17">
        <v>2505</v>
      </c>
      <c r="Z521" s="4" t="s">
        <v>2962</v>
      </c>
      <c r="AA521" s="4" t="s">
        <v>2980</v>
      </c>
      <c r="AB521" s="4" t="s">
        <v>2981</v>
      </c>
      <c r="AC521" s="4" t="s">
        <v>2982</v>
      </c>
      <c r="AD521" s="4" t="s">
        <v>17</v>
      </c>
      <c r="AE521" s="4" t="s">
        <v>2983</v>
      </c>
      <c r="AF521" s="4" t="s">
        <v>19</v>
      </c>
      <c r="AG521" s="4" t="s">
        <v>19</v>
      </c>
      <c r="AH521" s="17">
        <v>6435.05551</v>
      </c>
    </row>
    <row r="522" spans="2:34" ht="15">
      <c r="B522" s="1" t="s">
        <v>153</v>
      </c>
      <c r="C522" s="2">
        <v>43801</v>
      </c>
      <c r="D522" s="1" t="s">
        <v>154</v>
      </c>
      <c r="E522" s="1" t="s">
        <v>2984</v>
      </c>
      <c r="F522" s="1" t="s">
        <v>3</v>
      </c>
      <c r="G522" s="1" t="s">
        <v>4</v>
      </c>
      <c r="H522" s="1" t="s">
        <v>119</v>
      </c>
      <c r="I522" s="2">
        <v>43798</v>
      </c>
      <c r="J522" s="3">
        <v>0.5851157407407407</v>
      </c>
      <c r="K522" s="2">
        <v>43802</v>
      </c>
      <c r="L522" s="1" t="s">
        <v>2256</v>
      </c>
      <c r="M522" s="1"/>
      <c r="N522" s="1" t="s">
        <v>214</v>
      </c>
      <c r="O522" s="1" t="s">
        <v>215</v>
      </c>
      <c r="P522" s="1" t="s">
        <v>2960</v>
      </c>
      <c r="Q522" s="1" t="s">
        <v>4</v>
      </c>
      <c r="R522" s="1" t="s">
        <v>4</v>
      </c>
      <c r="S522" s="1" t="s">
        <v>10</v>
      </c>
      <c r="T522" s="1"/>
      <c r="U522" s="1"/>
      <c r="V522" s="1"/>
      <c r="W522" s="1" t="s">
        <v>1963</v>
      </c>
      <c r="X522" s="16">
        <v>182</v>
      </c>
      <c r="Y522" s="16">
        <v>182</v>
      </c>
      <c r="Z522" s="1" t="s">
        <v>2495</v>
      </c>
      <c r="AA522" s="1" t="s">
        <v>2986</v>
      </c>
      <c r="AB522" s="1" t="s">
        <v>2987</v>
      </c>
      <c r="AC522" s="1" t="s">
        <v>2988</v>
      </c>
      <c r="AD522" s="1" t="s">
        <v>17</v>
      </c>
      <c r="AE522" s="1" t="s">
        <v>2989</v>
      </c>
      <c r="AF522" s="1" t="s">
        <v>19</v>
      </c>
      <c r="AG522" s="1" t="s">
        <v>19</v>
      </c>
      <c r="AH522" s="16">
        <v>461.85728</v>
      </c>
    </row>
    <row r="523" spans="2:34" ht="15">
      <c r="B523" s="1" t="s">
        <v>20</v>
      </c>
      <c r="C523" s="2">
        <v>43802</v>
      </c>
      <c r="D523" s="1" t="s">
        <v>21</v>
      </c>
      <c r="E523" s="1" t="s">
        <v>2959</v>
      </c>
      <c r="F523" s="1" t="s">
        <v>3</v>
      </c>
      <c r="G523" s="1" t="s">
        <v>4</v>
      </c>
      <c r="H523" s="1" t="s">
        <v>2804</v>
      </c>
      <c r="I523" s="2">
        <v>43798</v>
      </c>
      <c r="J523" s="3">
        <v>0.42440972222222223</v>
      </c>
      <c r="K523" s="2">
        <v>43802</v>
      </c>
      <c r="L523" s="1" t="s">
        <v>2256</v>
      </c>
      <c r="M523" s="1"/>
      <c r="N523" s="1" t="s">
        <v>2920</v>
      </c>
      <c r="O523" s="1" t="s">
        <v>2921</v>
      </c>
      <c r="P523" s="1" t="s">
        <v>2922</v>
      </c>
      <c r="Q523" s="1" t="s">
        <v>4</v>
      </c>
      <c r="R523" s="1" t="s">
        <v>85</v>
      </c>
      <c r="S523" s="1" t="s">
        <v>4</v>
      </c>
      <c r="T523" s="1"/>
      <c r="U523" s="1"/>
      <c r="V523" s="1"/>
      <c r="W523" s="1" t="s">
        <v>1963</v>
      </c>
      <c r="X523" s="16">
        <v>245052</v>
      </c>
      <c r="Y523" s="16">
        <v>245052</v>
      </c>
      <c r="Z523" s="1" t="s">
        <v>1498</v>
      </c>
      <c r="AA523" s="1" t="s">
        <v>2933</v>
      </c>
      <c r="AB523" s="1" t="s">
        <v>2933</v>
      </c>
      <c r="AC523" s="1" t="s">
        <v>17</v>
      </c>
      <c r="AD523" s="1" t="s">
        <v>17</v>
      </c>
      <c r="AE523" s="1" t="s">
        <v>17</v>
      </c>
      <c r="AF523" s="1" t="s">
        <v>19</v>
      </c>
      <c r="AG523" s="1" t="s">
        <v>19</v>
      </c>
      <c r="AH523" s="16">
        <v>514609.2</v>
      </c>
    </row>
    <row r="524" spans="2:34" ht="15">
      <c r="B524" s="1" t="s">
        <v>153</v>
      </c>
      <c r="C524" s="2">
        <v>43802</v>
      </c>
      <c r="D524" s="1" t="s">
        <v>154</v>
      </c>
      <c r="E524" s="1" t="s">
        <v>2967</v>
      </c>
      <c r="F524" s="1" t="s">
        <v>3</v>
      </c>
      <c r="G524" s="1" t="s">
        <v>4</v>
      </c>
      <c r="H524" s="1" t="s">
        <v>2804</v>
      </c>
      <c r="I524" s="2">
        <v>43798</v>
      </c>
      <c r="J524" s="3">
        <v>0.42440972222222223</v>
      </c>
      <c r="K524" s="2">
        <v>43802</v>
      </c>
      <c r="L524" s="1" t="s">
        <v>2256</v>
      </c>
      <c r="M524" s="1"/>
      <c r="N524" s="1" t="s">
        <v>2920</v>
      </c>
      <c r="O524" s="1" t="s">
        <v>2921</v>
      </c>
      <c r="P524" s="1" t="s">
        <v>2922</v>
      </c>
      <c r="Q524" s="1" t="s">
        <v>4</v>
      </c>
      <c r="R524" s="1" t="s">
        <v>85</v>
      </c>
      <c r="S524" s="1" t="s">
        <v>4</v>
      </c>
      <c r="T524" s="1"/>
      <c r="U524" s="1"/>
      <c r="V524" s="1"/>
      <c r="W524" s="1" t="s">
        <v>1963</v>
      </c>
      <c r="X524" s="16">
        <v>4949</v>
      </c>
      <c r="Y524" s="16">
        <v>4949</v>
      </c>
      <c r="Z524" s="1" t="s">
        <v>1498</v>
      </c>
      <c r="AA524" s="1" t="s">
        <v>2935</v>
      </c>
      <c r="AB524" s="1" t="s">
        <v>2935</v>
      </c>
      <c r="AC524" s="1" t="s">
        <v>17</v>
      </c>
      <c r="AD524" s="1" t="s">
        <v>17</v>
      </c>
      <c r="AE524" s="1" t="s">
        <v>17</v>
      </c>
      <c r="AF524" s="1" t="s">
        <v>19</v>
      </c>
      <c r="AG524" s="1" t="s">
        <v>19</v>
      </c>
      <c r="AH524" s="16">
        <v>10392.9</v>
      </c>
    </row>
    <row r="525" spans="2:34" ht="15">
      <c r="B525" s="4" t="s">
        <v>20</v>
      </c>
      <c r="C525" s="5">
        <v>43804</v>
      </c>
      <c r="D525" s="4" t="s">
        <v>21</v>
      </c>
      <c r="E525" s="4" t="s">
        <v>2990</v>
      </c>
      <c r="F525" s="4" t="s">
        <v>3</v>
      </c>
      <c r="G525" s="4" t="s">
        <v>4</v>
      </c>
      <c r="H525" s="4" t="s">
        <v>23</v>
      </c>
      <c r="I525" s="5">
        <v>43803</v>
      </c>
      <c r="J525" s="6">
        <v>0.6522916666666667</v>
      </c>
      <c r="K525" s="5">
        <v>43805</v>
      </c>
      <c r="L525" s="4" t="s">
        <v>2256</v>
      </c>
      <c r="M525" s="4"/>
      <c r="N525" s="4" t="s">
        <v>2353</v>
      </c>
      <c r="O525" s="4" t="s">
        <v>2309</v>
      </c>
      <c r="P525" s="4" t="s">
        <v>2426</v>
      </c>
      <c r="Q525" s="4" t="s">
        <v>4</v>
      </c>
      <c r="R525" s="4" t="s">
        <v>4</v>
      </c>
      <c r="S525" s="4" t="s">
        <v>10</v>
      </c>
      <c r="T525" s="4"/>
      <c r="U525" s="4"/>
      <c r="V525" s="4"/>
      <c r="W525" s="4" t="s">
        <v>2258</v>
      </c>
      <c r="X525" s="17">
        <v>489724</v>
      </c>
      <c r="Y525" s="17">
        <v>489724</v>
      </c>
      <c r="Z525" s="4" t="s">
        <v>2312</v>
      </c>
      <c r="AA525" s="4" t="s">
        <v>2992</v>
      </c>
      <c r="AB525" s="4" t="s">
        <v>2993</v>
      </c>
      <c r="AC525" s="4" t="s">
        <v>2994</v>
      </c>
      <c r="AD525" s="4" t="s">
        <v>17</v>
      </c>
      <c r="AE525" s="4" t="s">
        <v>18</v>
      </c>
      <c r="AF525" s="4" t="s">
        <v>19</v>
      </c>
      <c r="AG525" s="4" t="s">
        <v>19</v>
      </c>
      <c r="AH525" s="17">
        <v>317682.96</v>
      </c>
    </row>
    <row r="526" spans="2:34" ht="15">
      <c r="B526" s="1" t="s">
        <v>0</v>
      </c>
      <c r="C526" s="2">
        <v>43804</v>
      </c>
      <c r="D526" s="1" t="s">
        <v>1</v>
      </c>
      <c r="E526" s="1" t="s">
        <v>2995</v>
      </c>
      <c r="F526" s="1" t="s">
        <v>3</v>
      </c>
      <c r="G526" s="1" t="s">
        <v>4</v>
      </c>
      <c r="H526" s="1" t="s">
        <v>632</v>
      </c>
      <c r="I526" s="2">
        <v>43803</v>
      </c>
      <c r="J526" s="3">
        <v>0.6761458333333333</v>
      </c>
      <c r="K526" s="2">
        <v>43805</v>
      </c>
      <c r="L526" s="1" t="s">
        <v>2256</v>
      </c>
      <c r="M526" s="1"/>
      <c r="N526" s="1" t="s">
        <v>2938</v>
      </c>
      <c r="O526" s="1" t="s">
        <v>2939</v>
      </c>
      <c r="P526" s="1" t="s">
        <v>2940</v>
      </c>
      <c r="Q526" s="1" t="s">
        <v>4</v>
      </c>
      <c r="R526" s="1" t="s">
        <v>4</v>
      </c>
      <c r="S526" s="1" t="s">
        <v>10</v>
      </c>
      <c r="T526" s="1"/>
      <c r="U526" s="1"/>
      <c r="V526" s="1"/>
      <c r="W526" s="1" t="s">
        <v>1963</v>
      </c>
      <c r="X526" s="16">
        <v>135000</v>
      </c>
      <c r="Y526" s="16">
        <v>135000</v>
      </c>
      <c r="Z526" s="1" t="s">
        <v>2997</v>
      </c>
      <c r="AA526" s="1" t="s">
        <v>2998</v>
      </c>
      <c r="AB526" s="1" t="s">
        <v>2999</v>
      </c>
      <c r="AC526" s="1" t="s">
        <v>3000</v>
      </c>
      <c r="AD526" s="1" t="s">
        <v>17</v>
      </c>
      <c r="AE526" s="1" t="s">
        <v>3001</v>
      </c>
      <c r="AF526" s="1" t="s">
        <v>19</v>
      </c>
      <c r="AG526" s="1" t="s">
        <v>19</v>
      </c>
      <c r="AH526" s="16">
        <v>546563.5156</v>
      </c>
    </row>
    <row r="527" spans="2:34" ht="15">
      <c r="B527" s="4" t="s">
        <v>153</v>
      </c>
      <c r="C527" s="5">
        <v>43804</v>
      </c>
      <c r="D527" s="4" t="s">
        <v>154</v>
      </c>
      <c r="E527" s="4" t="s">
        <v>3002</v>
      </c>
      <c r="F527" s="4" t="s">
        <v>3</v>
      </c>
      <c r="G527" s="4" t="s">
        <v>4</v>
      </c>
      <c r="H527" s="4" t="s">
        <v>23</v>
      </c>
      <c r="I527" s="5">
        <v>43803</v>
      </c>
      <c r="J527" s="6">
        <v>0.6522916666666667</v>
      </c>
      <c r="K527" s="5">
        <v>43805</v>
      </c>
      <c r="L527" s="4" t="s">
        <v>2256</v>
      </c>
      <c r="M527" s="4"/>
      <c r="N527" s="4" t="s">
        <v>2353</v>
      </c>
      <c r="O527" s="4" t="s">
        <v>2309</v>
      </c>
      <c r="P527" s="4" t="s">
        <v>2426</v>
      </c>
      <c r="Q527" s="4" t="s">
        <v>4</v>
      </c>
      <c r="R527" s="4" t="s">
        <v>4</v>
      </c>
      <c r="S527" s="4" t="s">
        <v>10</v>
      </c>
      <c r="T527" s="4"/>
      <c r="U527" s="4"/>
      <c r="V527" s="4"/>
      <c r="W527" s="4" t="s">
        <v>2258</v>
      </c>
      <c r="X527" s="17">
        <v>10276</v>
      </c>
      <c r="Y527" s="17">
        <v>10276</v>
      </c>
      <c r="Z527" s="4" t="s">
        <v>2312</v>
      </c>
      <c r="AA527" s="4" t="s">
        <v>3004</v>
      </c>
      <c r="AB527" s="4" t="s">
        <v>3005</v>
      </c>
      <c r="AC527" s="4" t="s">
        <v>3006</v>
      </c>
      <c r="AD527" s="4" t="s">
        <v>17</v>
      </c>
      <c r="AE527" s="4" t="s">
        <v>17</v>
      </c>
      <c r="AF527" s="4" t="s">
        <v>19</v>
      </c>
      <c r="AG527" s="4" t="s">
        <v>19</v>
      </c>
      <c r="AH527" s="17">
        <v>6666.04</v>
      </c>
    </row>
    <row r="528" spans="2:34" ht="15">
      <c r="B528" s="1" t="s">
        <v>20</v>
      </c>
      <c r="C528" s="2">
        <v>43808</v>
      </c>
      <c r="D528" s="1" t="s">
        <v>21</v>
      </c>
      <c r="E528" s="1" t="s">
        <v>3007</v>
      </c>
      <c r="F528" s="1" t="s">
        <v>3</v>
      </c>
      <c r="G528" s="1" t="s">
        <v>4</v>
      </c>
      <c r="H528" s="1" t="s">
        <v>119</v>
      </c>
      <c r="I528" s="2">
        <v>43805</v>
      </c>
      <c r="J528" s="3">
        <v>0.6648495370370371</v>
      </c>
      <c r="K528" s="2">
        <v>43809</v>
      </c>
      <c r="L528" s="1" t="s">
        <v>2256</v>
      </c>
      <c r="M528" s="1"/>
      <c r="N528" s="1" t="s">
        <v>3008</v>
      </c>
      <c r="O528" s="1" t="s">
        <v>3009</v>
      </c>
      <c r="P528" s="1" t="s">
        <v>3010</v>
      </c>
      <c r="Q528" s="1" t="s">
        <v>4</v>
      </c>
      <c r="R528" s="1" t="s">
        <v>4</v>
      </c>
      <c r="S528" s="1" t="s">
        <v>10</v>
      </c>
      <c r="T528" s="1"/>
      <c r="U528" s="1"/>
      <c r="V528" s="1"/>
      <c r="W528" s="1" t="s">
        <v>1963</v>
      </c>
      <c r="X528" s="16">
        <v>10233</v>
      </c>
      <c r="Y528" s="16">
        <v>10233</v>
      </c>
      <c r="Z528" s="1" t="s">
        <v>3012</v>
      </c>
      <c r="AA528" s="1" t="s">
        <v>3013</v>
      </c>
      <c r="AB528" s="1" t="s">
        <v>3014</v>
      </c>
      <c r="AC528" s="1" t="s">
        <v>3015</v>
      </c>
      <c r="AD528" s="1" t="s">
        <v>17</v>
      </c>
      <c r="AE528" s="1" t="s">
        <v>18</v>
      </c>
      <c r="AF528" s="1" t="s">
        <v>19</v>
      </c>
      <c r="AG528" s="1" t="s">
        <v>19</v>
      </c>
      <c r="AH528" s="16">
        <v>36913.4776</v>
      </c>
    </row>
    <row r="529" spans="2:34" ht="15">
      <c r="B529" s="4" t="s">
        <v>0</v>
      </c>
      <c r="C529" s="5">
        <v>43811</v>
      </c>
      <c r="D529" s="4" t="s">
        <v>1</v>
      </c>
      <c r="E529" s="4" t="s">
        <v>3016</v>
      </c>
      <c r="F529" s="4" t="s">
        <v>3</v>
      </c>
      <c r="G529" s="4" t="s">
        <v>4</v>
      </c>
      <c r="H529" s="4" t="s">
        <v>632</v>
      </c>
      <c r="I529" s="5">
        <v>43810</v>
      </c>
      <c r="J529" s="6">
        <v>0.6822685185185186</v>
      </c>
      <c r="K529" s="5">
        <v>43812</v>
      </c>
      <c r="L529" s="4" t="s">
        <v>2256</v>
      </c>
      <c r="M529" s="4"/>
      <c r="N529" s="4" t="s">
        <v>2938</v>
      </c>
      <c r="O529" s="4" t="s">
        <v>2939</v>
      </c>
      <c r="P529" s="4" t="s">
        <v>2940</v>
      </c>
      <c r="Q529" s="4" t="s">
        <v>4</v>
      </c>
      <c r="R529" s="4" t="s">
        <v>4</v>
      </c>
      <c r="S529" s="4" t="s">
        <v>10</v>
      </c>
      <c r="T529" s="4"/>
      <c r="U529" s="4"/>
      <c r="V529" s="4"/>
      <c r="W529" s="4" t="s">
        <v>2258</v>
      </c>
      <c r="X529" s="17">
        <v>135000</v>
      </c>
      <c r="Y529" s="17">
        <v>135000</v>
      </c>
      <c r="Z529" s="4" t="s">
        <v>3017</v>
      </c>
      <c r="AA529" s="4" t="s">
        <v>3018</v>
      </c>
      <c r="AB529" s="4" t="s">
        <v>3019</v>
      </c>
      <c r="AC529" s="4" t="s">
        <v>3020</v>
      </c>
      <c r="AD529" s="4" t="s">
        <v>17</v>
      </c>
      <c r="AE529" s="4" t="s">
        <v>18</v>
      </c>
      <c r="AF529" s="4" t="s">
        <v>19</v>
      </c>
      <c r="AG529" s="4" t="s">
        <v>19</v>
      </c>
      <c r="AH529" s="17">
        <v>434218.7576</v>
      </c>
    </row>
    <row r="530" spans="2:34" ht="15">
      <c r="B530" s="1" t="s">
        <v>20</v>
      </c>
      <c r="C530" s="2">
        <v>43812</v>
      </c>
      <c r="D530" s="1" t="s">
        <v>21</v>
      </c>
      <c r="E530" s="1" t="s">
        <v>3021</v>
      </c>
      <c r="F530" s="1" t="s">
        <v>3</v>
      </c>
      <c r="G530" s="1" t="s">
        <v>4</v>
      </c>
      <c r="H530" s="1" t="s">
        <v>632</v>
      </c>
      <c r="I530" s="2">
        <v>43811</v>
      </c>
      <c r="J530" s="3">
        <v>0.6519791666666667</v>
      </c>
      <c r="K530" s="2">
        <v>43815</v>
      </c>
      <c r="L530" s="1" t="s">
        <v>2256</v>
      </c>
      <c r="M530" s="1"/>
      <c r="N530" s="1" t="s">
        <v>2353</v>
      </c>
      <c r="O530" s="1" t="s">
        <v>2309</v>
      </c>
      <c r="P530" s="1" t="s">
        <v>2426</v>
      </c>
      <c r="Q530" s="1" t="s">
        <v>4</v>
      </c>
      <c r="R530" s="1" t="s">
        <v>4</v>
      </c>
      <c r="S530" s="1" t="s">
        <v>4</v>
      </c>
      <c r="T530" s="1"/>
      <c r="U530" s="1"/>
      <c r="V530" s="1"/>
      <c r="W530" s="1" t="s">
        <v>2258</v>
      </c>
      <c r="X530" s="16">
        <v>24486</v>
      </c>
      <c r="Y530" s="16">
        <v>24486</v>
      </c>
      <c r="Z530" s="1" t="s">
        <v>2312</v>
      </c>
      <c r="AA530" s="1" t="s">
        <v>3023</v>
      </c>
      <c r="AB530" s="1" t="s">
        <v>3024</v>
      </c>
      <c r="AC530" s="1" t="s">
        <v>3025</v>
      </c>
      <c r="AD530" s="1" t="s">
        <v>17</v>
      </c>
      <c r="AE530" s="1" t="s">
        <v>18</v>
      </c>
      <c r="AF530" s="1" t="s">
        <v>19</v>
      </c>
      <c r="AG530" s="1" t="s">
        <v>19</v>
      </c>
      <c r="AH530" s="16">
        <v>15883.07</v>
      </c>
    </row>
    <row r="531" spans="2:34" ht="15">
      <c r="B531" s="4" t="s">
        <v>20</v>
      </c>
      <c r="C531" s="5">
        <v>43812</v>
      </c>
      <c r="D531" s="4" t="s">
        <v>21</v>
      </c>
      <c r="E531" s="4" t="s">
        <v>3026</v>
      </c>
      <c r="F531" s="4" t="s">
        <v>3</v>
      </c>
      <c r="G531" s="4" t="s">
        <v>4</v>
      </c>
      <c r="H531" s="4" t="s">
        <v>632</v>
      </c>
      <c r="I531" s="5">
        <v>43812</v>
      </c>
      <c r="J531" s="6">
        <v>0.3454861111111111</v>
      </c>
      <c r="K531" s="5">
        <v>43816</v>
      </c>
      <c r="L531" s="4" t="s">
        <v>2256</v>
      </c>
      <c r="M531" s="4"/>
      <c r="N531" s="4" t="s">
        <v>2353</v>
      </c>
      <c r="O531" s="4" t="s">
        <v>2309</v>
      </c>
      <c r="P531" s="4" t="s">
        <v>2426</v>
      </c>
      <c r="Q531" s="4" t="s">
        <v>4</v>
      </c>
      <c r="R531" s="4" t="s">
        <v>4</v>
      </c>
      <c r="S531" s="4" t="s">
        <v>4</v>
      </c>
      <c r="T531" s="4"/>
      <c r="U531" s="4"/>
      <c r="V531" s="4"/>
      <c r="W531" s="4" t="s">
        <v>2258</v>
      </c>
      <c r="X531" s="17">
        <v>73459</v>
      </c>
      <c r="Y531" s="17">
        <v>73459</v>
      </c>
      <c r="Z531" s="4" t="s">
        <v>2312</v>
      </c>
      <c r="AA531" s="4" t="s">
        <v>3028</v>
      </c>
      <c r="AB531" s="4" t="s">
        <v>3029</v>
      </c>
      <c r="AC531" s="4" t="s">
        <v>3030</v>
      </c>
      <c r="AD531" s="4" t="s">
        <v>17</v>
      </c>
      <c r="AE531" s="4" t="s">
        <v>18</v>
      </c>
      <c r="AF531" s="4" t="s">
        <v>19</v>
      </c>
      <c r="AG531" s="4" t="s">
        <v>19</v>
      </c>
      <c r="AH531" s="17">
        <v>47651.85</v>
      </c>
    </row>
    <row r="532" spans="2:34" ht="15">
      <c r="B532" s="1" t="s">
        <v>153</v>
      </c>
      <c r="C532" s="2">
        <v>43812</v>
      </c>
      <c r="D532" s="1" t="s">
        <v>154</v>
      </c>
      <c r="E532" s="1" t="s">
        <v>3031</v>
      </c>
      <c r="F532" s="1" t="s">
        <v>3</v>
      </c>
      <c r="G532" s="1" t="s">
        <v>4</v>
      </c>
      <c r="H532" s="1" t="s">
        <v>632</v>
      </c>
      <c r="I532" s="2">
        <v>43811</v>
      </c>
      <c r="J532" s="3">
        <v>0.6519791666666667</v>
      </c>
      <c r="K532" s="2">
        <v>43815</v>
      </c>
      <c r="L532" s="1" t="s">
        <v>2256</v>
      </c>
      <c r="M532" s="1"/>
      <c r="N532" s="1" t="s">
        <v>2353</v>
      </c>
      <c r="O532" s="1" t="s">
        <v>2309</v>
      </c>
      <c r="P532" s="1" t="s">
        <v>2426</v>
      </c>
      <c r="Q532" s="1" t="s">
        <v>4</v>
      </c>
      <c r="R532" s="1" t="s">
        <v>4</v>
      </c>
      <c r="S532" s="1" t="s">
        <v>4</v>
      </c>
      <c r="T532" s="1"/>
      <c r="U532" s="1"/>
      <c r="V532" s="1"/>
      <c r="W532" s="1" t="s">
        <v>2258</v>
      </c>
      <c r="X532" s="16">
        <v>514</v>
      </c>
      <c r="Y532" s="16">
        <v>514</v>
      </c>
      <c r="Z532" s="1" t="s">
        <v>2312</v>
      </c>
      <c r="AA532" s="1" t="s">
        <v>3033</v>
      </c>
      <c r="AB532" s="1" t="s">
        <v>3034</v>
      </c>
      <c r="AC532" s="1" t="s">
        <v>2428</v>
      </c>
      <c r="AD532" s="1" t="s">
        <v>17</v>
      </c>
      <c r="AE532" s="1" t="s">
        <v>17</v>
      </c>
      <c r="AF532" s="1" t="s">
        <v>19</v>
      </c>
      <c r="AG532" s="1" t="s">
        <v>19</v>
      </c>
      <c r="AH532" s="16">
        <v>333.43</v>
      </c>
    </row>
    <row r="533" spans="2:34" ht="15">
      <c r="B533" s="4" t="s">
        <v>153</v>
      </c>
      <c r="C533" s="5">
        <v>43812</v>
      </c>
      <c r="D533" s="4" t="s">
        <v>154</v>
      </c>
      <c r="E533" s="4" t="s">
        <v>3035</v>
      </c>
      <c r="F533" s="4" t="s">
        <v>3</v>
      </c>
      <c r="G533" s="4" t="s">
        <v>4</v>
      </c>
      <c r="H533" s="4" t="s">
        <v>632</v>
      </c>
      <c r="I533" s="5">
        <v>43812</v>
      </c>
      <c r="J533" s="6">
        <v>0.3454861111111111</v>
      </c>
      <c r="K533" s="5">
        <v>43816</v>
      </c>
      <c r="L533" s="4" t="s">
        <v>2256</v>
      </c>
      <c r="M533" s="4"/>
      <c r="N533" s="4" t="s">
        <v>2353</v>
      </c>
      <c r="O533" s="4" t="s">
        <v>2309</v>
      </c>
      <c r="P533" s="4" t="s">
        <v>2426</v>
      </c>
      <c r="Q533" s="4" t="s">
        <v>4</v>
      </c>
      <c r="R533" s="4" t="s">
        <v>4</v>
      </c>
      <c r="S533" s="4" t="s">
        <v>4</v>
      </c>
      <c r="T533" s="4"/>
      <c r="U533" s="4"/>
      <c r="V533" s="4"/>
      <c r="W533" s="4" t="s">
        <v>2258</v>
      </c>
      <c r="X533" s="17">
        <v>1541</v>
      </c>
      <c r="Y533" s="17">
        <v>1541</v>
      </c>
      <c r="Z533" s="4" t="s">
        <v>2312</v>
      </c>
      <c r="AA533" s="4" t="s">
        <v>3037</v>
      </c>
      <c r="AB533" s="4" t="s">
        <v>3038</v>
      </c>
      <c r="AC533" s="4" t="s">
        <v>1068</v>
      </c>
      <c r="AD533" s="4" t="s">
        <v>17</v>
      </c>
      <c r="AE533" s="4" t="s">
        <v>17</v>
      </c>
      <c r="AF533" s="4" t="s">
        <v>19</v>
      </c>
      <c r="AG533" s="4" t="s">
        <v>19</v>
      </c>
      <c r="AH533" s="17">
        <v>999.65</v>
      </c>
    </row>
    <row r="534" spans="2:34" ht="15">
      <c r="B534" s="1" t="s">
        <v>20</v>
      </c>
      <c r="C534" s="2">
        <v>43815</v>
      </c>
      <c r="D534" s="1" t="s">
        <v>21</v>
      </c>
      <c r="E534" s="1" t="s">
        <v>3039</v>
      </c>
      <c r="F534" s="1" t="s">
        <v>3</v>
      </c>
      <c r="G534" s="1" t="s">
        <v>4</v>
      </c>
      <c r="H534" s="1" t="s">
        <v>632</v>
      </c>
      <c r="I534" s="2">
        <v>43812</v>
      </c>
      <c r="J534" s="3">
        <v>0.700324074074074</v>
      </c>
      <c r="K534" s="2">
        <v>43816</v>
      </c>
      <c r="L534" s="1" t="s">
        <v>2256</v>
      </c>
      <c r="M534" s="1"/>
      <c r="N534" s="1" t="s">
        <v>2353</v>
      </c>
      <c r="O534" s="1" t="s">
        <v>2309</v>
      </c>
      <c r="P534" s="1" t="s">
        <v>2426</v>
      </c>
      <c r="Q534" s="1" t="s">
        <v>4</v>
      </c>
      <c r="R534" s="1" t="s">
        <v>4</v>
      </c>
      <c r="S534" s="1" t="s">
        <v>10</v>
      </c>
      <c r="T534" s="1"/>
      <c r="U534" s="1"/>
      <c r="V534" s="1"/>
      <c r="W534" s="1" t="s">
        <v>2258</v>
      </c>
      <c r="X534" s="16">
        <v>244863</v>
      </c>
      <c r="Y534" s="16">
        <v>244863</v>
      </c>
      <c r="Z534" s="1" t="s">
        <v>3041</v>
      </c>
      <c r="AA534" s="1" t="s">
        <v>3042</v>
      </c>
      <c r="AB534" s="1" t="s">
        <v>3043</v>
      </c>
      <c r="AC534" s="1" t="s">
        <v>3044</v>
      </c>
      <c r="AD534" s="1" t="s">
        <v>17</v>
      </c>
      <c r="AE534" s="1" t="s">
        <v>18</v>
      </c>
      <c r="AF534" s="1" t="s">
        <v>19</v>
      </c>
      <c r="AG534" s="1" t="s">
        <v>19</v>
      </c>
      <c r="AH534" s="16">
        <v>161651.92</v>
      </c>
    </row>
    <row r="535" spans="2:34" ht="15">
      <c r="B535" s="4" t="s">
        <v>20</v>
      </c>
      <c r="C535" s="5">
        <v>43815</v>
      </c>
      <c r="D535" s="4" t="s">
        <v>21</v>
      </c>
      <c r="E535" s="4" t="s">
        <v>3045</v>
      </c>
      <c r="F535" s="4" t="s">
        <v>3</v>
      </c>
      <c r="G535" s="4" t="s">
        <v>4</v>
      </c>
      <c r="H535" s="4" t="s">
        <v>183</v>
      </c>
      <c r="I535" s="5">
        <v>43812</v>
      </c>
      <c r="J535" s="6">
        <v>0.5149537037037037</v>
      </c>
      <c r="K535" s="5">
        <v>43816</v>
      </c>
      <c r="L535" s="4" t="s">
        <v>2256</v>
      </c>
      <c r="M535" s="4"/>
      <c r="N535" s="4" t="s">
        <v>1253</v>
      </c>
      <c r="O535" s="4" t="s">
        <v>1254</v>
      </c>
      <c r="P535" s="4" t="s">
        <v>2774</v>
      </c>
      <c r="Q535" s="4" t="s">
        <v>4</v>
      </c>
      <c r="R535" s="4" t="s">
        <v>4</v>
      </c>
      <c r="S535" s="4" t="s">
        <v>10</v>
      </c>
      <c r="T535" s="4"/>
      <c r="U535" s="4"/>
      <c r="V535" s="4"/>
      <c r="W535" s="4" t="s">
        <v>1963</v>
      </c>
      <c r="X535" s="17">
        <v>50000</v>
      </c>
      <c r="Y535" s="17">
        <v>50000</v>
      </c>
      <c r="Z535" s="4" t="s">
        <v>3046</v>
      </c>
      <c r="AA535" s="4" t="s">
        <v>3047</v>
      </c>
      <c r="AB535" s="4" t="s">
        <v>3048</v>
      </c>
      <c r="AC535" s="4" t="s">
        <v>3049</v>
      </c>
      <c r="AD535" s="4" t="s">
        <v>17</v>
      </c>
      <c r="AE535" s="4" t="s">
        <v>18</v>
      </c>
      <c r="AF535" s="4" t="s">
        <v>19</v>
      </c>
      <c r="AG535" s="4" t="s">
        <v>19</v>
      </c>
      <c r="AH535" s="17">
        <v>14905.75</v>
      </c>
    </row>
    <row r="536" spans="2:34" ht="15">
      <c r="B536" s="1" t="s">
        <v>153</v>
      </c>
      <c r="C536" s="2">
        <v>43815</v>
      </c>
      <c r="D536" s="1" t="s">
        <v>154</v>
      </c>
      <c r="E536" s="1" t="s">
        <v>3050</v>
      </c>
      <c r="F536" s="1" t="s">
        <v>3</v>
      </c>
      <c r="G536" s="1" t="s">
        <v>4</v>
      </c>
      <c r="H536" s="1" t="s">
        <v>632</v>
      </c>
      <c r="I536" s="2">
        <v>43812</v>
      </c>
      <c r="J536" s="3">
        <v>0.700324074074074</v>
      </c>
      <c r="K536" s="2">
        <v>43816</v>
      </c>
      <c r="L536" s="1" t="s">
        <v>2256</v>
      </c>
      <c r="M536" s="1"/>
      <c r="N536" s="1" t="s">
        <v>2353</v>
      </c>
      <c r="O536" s="1" t="s">
        <v>2309</v>
      </c>
      <c r="P536" s="1" t="s">
        <v>2426</v>
      </c>
      <c r="Q536" s="1" t="s">
        <v>4</v>
      </c>
      <c r="R536" s="1" t="s">
        <v>4</v>
      </c>
      <c r="S536" s="1" t="s">
        <v>10</v>
      </c>
      <c r="T536" s="1"/>
      <c r="U536" s="1"/>
      <c r="V536" s="1"/>
      <c r="W536" s="1" t="s">
        <v>2258</v>
      </c>
      <c r="X536" s="16">
        <v>5137</v>
      </c>
      <c r="Y536" s="16">
        <v>5137</v>
      </c>
      <c r="Z536" s="1" t="s">
        <v>3041</v>
      </c>
      <c r="AA536" s="1" t="s">
        <v>3052</v>
      </c>
      <c r="AB536" s="1" t="s">
        <v>3053</v>
      </c>
      <c r="AC536" s="1" t="s">
        <v>3054</v>
      </c>
      <c r="AD536" s="1" t="s">
        <v>17</v>
      </c>
      <c r="AE536" s="1" t="s">
        <v>17</v>
      </c>
      <c r="AF536" s="1" t="s">
        <v>19</v>
      </c>
      <c r="AG536" s="1" t="s">
        <v>19</v>
      </c>
      <c r="AH536" s="16">
        <v>3391.33</v>
      </c>
    </row>
    <row r="537" spans="2:34" ht="15">
      <c r="B537" s="4" t="s">
        <v>20</v>
      </c>
      <c r="C537" s="5">
        <v>43816</v>
      </c>
      <c r="D537" s="4" t="s">
        <v>21</v>
      </c>
      <c r="E537" s="4" t="s">
        <v>3055</v>
      </c>
      <c r="F537" s="4" t="s">
        <v>3</v>
      </c>
      <c r="G537" s="4" t="s">
        <v>4</v>
      </c>
      <c r="H537" s="4" t="s">
        <v>1366</v>
      </c>
      <c r="I537" s="5">
        <v>43815</v>
      </c>
      <c r="J537" s="6">
        <v>0.5208333333333334</v>
      </c>
      <c r="K537" s="5">
        <v>43817</v>
      </c>
      <c r="L537" s="4" t="s">
        <v>2256</v>
      </c>
      <c r="M537" s="4"/>
      <c r="N537" s="4" t="s">
        <v>82</v>
      </c>
      <c r="O537" s="4" t="s">
        <v>83</v>
      </c>
      <c r="P537" s="4" t="s">
        <v>3056</v>
      </c>
      <c r="Q537" s="4" t="s">
        <v>4</v>
      </c>
      <c r="R537" s="4" t="s">
        <v>4</v>
      </c>
      <c r="S537" s="4" t="s">
        <v>10</v>
      </c>
      <c r="T537" s="4"/>
      <c r="U537" s="4"/>
      <c r="V537" s="4"/>
      <c r="W537" s="4" t="s">
        <v>1963</v>
      </c>
      <c r="X537" s="17">
        <v>2200000</v>
      </c>
      <c r="Y537" s="17">
        <v>2200000</v>
      </c>
      <c r="Z537" s="4" t="s">
        <v>3058</v>
      </c>
      <c r="AA537" s="4" t="s">
        <v>3059</v>
      </c>
      <c r="AB537" s="4" t="s">
        <v>3060</v>
      </c>
      <c r="AC537" s="4" t="s">
        <v>3061</v>
      </c>
      <c r="AD537" s="4" t="s">
        <v>17</v>
      </c>
      <c r="AE537" s="4" t="s">
        <v>18</v>
      </c>
      <c r="AF537" s="4" t="s">
        <v>19</v>
      </c>
      <c r="AG537" s="4" t="s">
        <v>19</v>
      </c>
      <c r="AH537" s="17">
        <v>683365</v>
      </c>
    </row>
    <row r="538" spans="2:34" ht="15">
      <c r="B538" s="1" t="s">
        <v>20</v>
      </c>
      <c r="C538" s="2">
        <v>43817</v>
      </c>
      <c r="D538" s="1" t="s">
        <v>21</v>
      </c>
      <c r="E538" s="1" t="s">
        <v>3062</v>
      </c>
      <c r="F538" s="1" t="s">
        <v>3</v>
      </c>
      <c r="G538" s="1" t="s">
        <v>4</v>
      </c>
      <c r="H538" s="1" t="s">
        <v>632</v>
      </c>
      <c r="I538" s="2">
        <v>43817</v>
      </c>
      <c r="J538" s="3">
        <v>0.3166203703703704</v>
      </c>
      <c r="K538" s="2">
        <v>43819</v>
      </c>
      <c r="L538" s="1" t="s">
        <v>2256</v>
      </c>
      <c r="M538" s="1"/>
      <c r="N538" s="1" t="s">
        <v>876</v>
      </c>
      <c r="O538" s="1" t="s">
        <v>877</v>
      </c>
      <c r="P538" s="1" t="s">
        <v>2332</v>
      </c>
      <c r="Q538" s="1" t="s">
        <v>4</v>
      </c>
      <c r="R538" s="1" t="s">
        <v>4</v>
      </c>
      <c r="S538" s="1" t="s">
        <v>10</v>
      </c>
      <c r="T538" s="1"/>
      <c r="U538" s="1"/>
      <c r="V538" s="1"/>
      <c r="W538" s="1" t="s">
        <v>1963</v>
      </c>
      <c r="X538" s="16">
        <v>250000</v>
      </c>
      <c r="Y538" s="16">
        <v>250000</v>
      </c>
      <c r="Z538" s="1" t="s">
        <v>3063</v>
      </c>
      <c r="AA538" s="1" t="s">
        <v>107</v>
      </c>
      <c r="AB538" s="1" t="s">
        <v>3064</v>
      </c>
      <c r="AC538" s="1" t="s">
        <v>780</v>
      </c>
      <c r="AD538" s="1" t="s">
        <v>17</v>
      </c>
      <c r="AE538" s="1" t="s">
        <v>3065</v>
      </c>
      <c r="AF538" s="1" t="s">
        <v>19</v>
      </c>
      <c r="AG538" s="1" t="s">
        <v>19</v>
      </c>
      <c r="AH538" s="16">
        <v>453155.5</v>
      </c>
    </row>
    <row r="539" spans="2:34" ht="15">
      <c r="B539" s="4" t="s">
        <v>20</v>
      </c>
      <c r="C539" s="5">
        <v>43818</v>
      </c>
      <c r="D539" s="4" t="s">
        <v>21</v>
      </c>
      <c r="E539" s="4" t="s">
        <v>3066</v>
      </c>
      <c r="F539" s="4" t="s">
        <v>3</v>
      </c>
      <c r="G539" s="4" t="s">
        <v>4</v>
      </c>
      <c r="H539" s="4" t="s">
        <v>632</v>
      </c>
      <c r="I539" s="5">
        <v>43817</v>
      </c>
      <c r="J539" s="6">
        <v>0.48561342592592593</v>
      </c>
      <c r="K539" s="5">
        <v>43819</v>
      </c>
      <c r="L539" s="4" t="s">
        <v>2256</v>
      </c>
      <c r="M539" s="4"/>
      <c r="N539" s="4" t="s">
        <v>977</v>
      </c>
      <c r="O539" s="4" t="s">
        <v>978</v>
      </c>
      <c r="P539" s="4" t="s">
        <v>2453</v>
      </c>
      <c r="Q539" s="4" t="s">
        <v>4</v>
      </c>
      <c r="R539" s="4" t="s">
        <v>4</v>
      </c>
      <c r="S539" s="4" t="s">
        <v>10</v>
      </c>
      <c r="T539" s="4"/>
      <c r="U539" s="4"/>
      <c r="V539" s="4"/>
      <c r="W539" s="4" t="s">
        <v>1963</v>
      </c>
      <c r="X539" s="17">
        <v>25000</v>
      </c>
      <c r="Y539" s="17">
        <v>25000</v>
      </c>
      <c r="Z539" s="4" t="s">
        <v>1776</v>
      </c>
      <c r="AA539" s="4" t="s">
        <v>3067</v>
      </c>
      <c r="AB539" s="4" t="s">
        <v>3068</v>
      </c>
      <c r="AC539" s="4" t="s">
        <v>3069</v>
      </c>
      <c r="AD539" s="4" t="s">
        <v>17</v>
      </c>
      <c r="AE539" s="4" t="s">
        <v>3070</v>
      </c>
      <c r="AF539" s="4" t="s">
        <v>19</v>
      </c>
      <c r="AG539" s="4" t="s">
        <v>19</v>
      </c>
      <c r="AH539" s="17">
        <v>69988.2</v>
      </c>
    </row>
    <row r="540" spans="2:34" ht="15">
      <c r="B540" s="1" t="s">
        <v>20</v>
      </c>
      <c r="C540" s="2">
        <v>43818</v>
      </c>
      <c r="D540" s="1" t="s">
        <v>21</v>
      </c>
      <c r="E540" s="1" t="s">
        <v>3071</v>
      </c>
      <c r="F540" s="1" t="s">
        <v>3</v>
      </c>
      <c r="G540" s="1" t="s">
        <v>4</v>
      </c>
      <c r="H540" s="1" t="s">
        <v>632</v>
      </c>
      <c r="I540" s="2">
        <v>43817</v>
      </c>
      <c r="J540" s="3">
        <v>0.45902777777777776</v>
      </c>
      <c r="K540" s="2">
        <v>43819</v>
      </c>
      <c r="L540" s="1" t="s">
        <v>2256</v>
      </c>
      <c r="M540" s="1"/>
      <c r="N540" s="1" t="s">
        <v>2790</v>
      </c>
      <c r="O540" s="1" t="s">
        <v>2791</v>
      </c>
      <c r="P540" s="1" t="s">
        <v>2792</v>
      </c>
      <c r="Q540" s="1" t="s">
        <v>4</v>
      </c>
      <c r="R540" s="1" t="s">
        <v>4</v>
      </c>
      <c r="S540" s="1" t="s">
        <v>10</v>
      </c>
      <c r="T540" s="1"/>
      <c r="U540" s="1"/>
      <c r="V540" s="1"/>
      <c r="W540" s="1" t="s">
        <v>1963</v>
      </c>
      <c r="X540" s="16">
        <v>100000</v>
      </c>
      <c r="Y540" s="16">
        <v>100000</v>
      </c>
      <c r="Z540" s="1" t="s">
        <v>2144</v>
      </c>
      <c r="AA540" s="1" t="s">
        <v>3072</v>
      </c>
      <c r="AB540" s="1" t="s">
        <v>3073</v>
      </c>
      <c r="AC540" s="1" t="s">
        <v>3074</v>
      </c>
      <c r="AD540" s="1" t="s">
        <v>17</v>
      </c>
      <c r="AE540" s="1" t="s">
        <v>18</v>
      </c>
      <c r="AF540" s="1" t="s">
        <v>19</v>
      </c>
      <c r="AG540" s="1" t="s">
        <v>19</v>
      </c>
      <c r="AH540" s="16">
        <v>160321</v>
      </c>
    </row>
    <row r="541" spans="2:34" ht="15">
      <c r="B541" s="4" t="s">
        <v>20</v>
      </c>
      <c r="C541" s="5">
        <v>43818</v>
      </c>
      <c r="D541" s="4" t="s">
        <v>21</v>
      </c>
      <c r="E541" s="4" t="s">
        <v>3075</v>
      </c>
      <c r="F541" s="4" t="s">
        <v>3</v>
      </c>
      <c r="G541" s="4" t="s">
        <v>4</v>
      </c>
      <c r="H541" s="4" t="s">
        <v>119</v>
      </c>
      <c r="I541" s="5">
        <v>43817</v>
      </c>
      <c r="J541" s="6">
        <v>0.517349537037037</v>
      </c>
      <c r="K541" s="5">
        <v>43819</v>
      </c>
      <c r="L541" s="4" t="s">
        <v>2256</v>
      </c>
      <c r="M541" s="4"/>
      <c r="N541" s="4" t="s">
        <v>977</v>
      </c>
      <c r="O541" s="4" t="s">
        <v>978</v>
      </c>
      <c r="P541" s="4" t="s">
        <v>2453</v>
      </c>
      <c r="Q541" s="4" t="s">
        <v>4</v>
      </c>
      <c r="R541" s="4" t="s">
        <v>4</v>
      </c>
      <c r="S541" s="4" t="s">
        <v>10</v>
      </c>
      <c r="T541" s="4"/>
      <c r="U541" s="4"/>
      <c r="V541" s="4"/>
      <c r="W541" s="4" t="s">
        <v>1963</v>
      </c>
      <c r="X541" s="17">
        <v>200000</v>
      </c>
      <c r="Y541" s="17">
        <v>200000</v>
      </c>
      <c r="Z541" s="4" t="s">
        <v>781</v>
      </c>
      <c r="AA541" s="4" t="s">
        <v>3076</v>
      </c>
      <c r="AB541" s="4" t="s">
        <v>3077</v>
      </c>
      <c r="AC541" s="4" t="s">
        <v>3078</v>
      </c>
      <c r="AD541" s="4" t="s">
        <v>17</v>
      </c>
      <c r="AE541" s="4" t="s">
        <v>3079</v>
      </c>
      <c r="AF541" s="4" t="s">
        <v>19</v>
      </c>
      <c r="AG541" s="4" t="s">
        <v>19</v>
      </c>
      <c r="AH541" s="17">
        <v>584066.8</v>
      </c>
    </row>
    <row r="542" spans="2:34" ht="15">
      <c r="B542" s="1" t="s">
        <v>20</v>
      </c>
      <c r="C542" s="2">
        <v>43819</v>
      </c>
      <c r="D542" s="1" t="s">
        <v>21</v>
      </c>
      <c r="E542" s="1" t="s">
        <v>3080</v>
      </c>
      <c r="F542" s="1" t="s">
        <v>3</v>
      </c>
      <c r="G542" s="1" t="s">
        <v>4</v>
      </c>
      <c r="H542" s="1" t="s">
        <v>914</v>
      </c>
      <c r="I542" s="2">
        <v>43818</v>
      </c>
      <c r="J542" s="3">
        <v>0.7346759259259259</v>
      </c>
      <c r="K542" s="2">
        <v>43822</v>
      </c>
      <c r="L542" s="1" t="s">
        <v>2256</v>
      </c>
      <c r="M542" s="1"/>
      <c r="N542" s="1" t="s">
        <v>156</v>
      </c>
      <c r="O542" s="1" t="s">
        <v>157</v>
      </c>
      <c r="P542" s="1" t="s">
        <v>2325</v>
      </c>
      <c r="Q542" s="1" t="s">
        <v>4</v>
      </c>
      <c r="R542" s="1" t="s">
        <v>4</v>
      </c>
      <c r="S542" s="1" t="s">
        <v>10</v>
      </c>
      <c r="T542" s="1"/>
      <c r="U542" s="1"/>
      <c r="V542" s="1"/>
      <c r="W542" s="1" t="s">
        <v>1963</v>
      </c>
      <c r="X542" s="16">
        <v>80000</v>
      </c>
      <c r="Y542" s="16">
        <v>80000</v>
      </c>
      <c r="Z542" s="1" t="s">
        <v>3081</v>
      </c>
      <c r="AA542" s="1" t="s">
        <v>3082</v>
      </c>
      <c r="AB542" s="1" t="s">
        <v>3083</v>
      </c>
      <c r="AC542" s="1" t="s">
        <v>3084</v>
      </c>
      <c r="AD542" s="1" t="s">
        <v>17</v>
      </c>
      <c r="AE542" s="1" t="s">
        <v>18</v>
      </c>
      <c r="AF542" s="1" t="s">
        <v>19</v>
      </c>
      <c r="AG542" s="1" t="s">
        <v>19</v>
      </c>
      <c r="AH542" s="16">
        <v>189980.2</v>
      </c>
    </row>
    <row r="543" spans="2:34" ht="15">
      <c r="B543" s="4" t="s">
        <v>20</v>
      </c>
      <c r="C543" s="5">
        <v>43819</v>
      </c>
      <c r="D543" s="4" t="s">
        <v>21</v>
      </c>
      <c r="E543" s="4" t="s">
        <v>3085</v>
      </c>
      <c r="F543" s="4" t="s">
        <v>3</v>
      </c>
      <c r="G543" s="4" t="s">
        <v>4</v>
      </c>
      <c r="H543" s="4" t="s">
        <v>1366</v>
      </c>
      <c r="I543" s="5">
        <v>43818</v>
      </c>
      <c r="J543" s="6">
        <v>0.6805555555555556</v>
      </c>
      <c r="K543" s="5">
        <v>43822</v>
      </c>
      <c r="L543" s="4" t="s">
        <v>2256</v>
      </c>
      <c r="M543" s="4"/>
      <c r="N543" s="4" t="s">
        <v>2790</v>
      </c>
      <c r="O543" s="4" t="s">
        <v>2791</v>
      </c>
      <c r="P543" s="4" t="s">
        <v>2792</v>
      </c>
      <c r="Q543" s="4" t="s">
        <v>4</v>
      </c>
      <c r="R543" s="4" t="s">
        <v>4</v>
      </c>
      <c r="S543" s="4" t="s">
        <v>10</v>
      </c>
      <c r="T543" s="4"/>
      <c r="U543" s="4"/>
      <c r="V543" s="4"/>
      <c r="W543" s="4" t="s">
        <v>1963</v>
      </c>
      <c r="X543" s="17">
        <v>500000</v>
      </c>
      <c r="Y543" s="17">
        <v>500000</v>
      </c>
      <c r="Z543" s="4" t="s">
        <v>2144</v>
      </c>
      <c r="AA543" s="4" t="s">
        <v>3087</v>
      </c>
      <c r="AB543" s="4" t="s">
        <v>3088</v>
      </c>
      <c r="AC543" s="4" t="s">
        <v>3089</v>
      </c>
      <c r="AD543" s="4" t="s">
        <v>17</v>
      </c>
      <c r="AE543" s="4" t="s">
        <v>18</v>
      </c>
      <c r="AF543" s="4" t="s">
        <v>19</v>
      </c>
      <c r="AG543" s="4" t="s">
        <v>19</v>
      </c>
      <c r="AH543" s="17">
        <v>801601</v>
      </c>
    </row>
    <row r="544" spans="2:34" ht="15">
      <c r="B544" s="1" t="s">
        <v>20</v>
      </c>
      <c r="C544" s="2">
        <v>43819</v>
      </c>
      <c r="D544" s="1" t="s">
        <v>21</v>
      </c>
      <c r="E544" s="1" t="s">
        <v>3090</v>
      </c>
      <c r="F544" s="1" t="s">
        <v>3</v>
      </c>
      <c r="G544" s="1" t="s">
        <v>4</v>
      </c>
      <c r="H544" s="1" t="s">
        <v>325</v>
      </c>
      <c r="I544" s="2">
        <v>43818</v>
      </c>
      <c r="J544" s="3">
        <v>0.65625</v>
      </c>
      <c r="K544" s="2">
        <v>43822</v>
      </c>
      <c r="L544" s="1" t="s">
        <v>2256</v>
      </c>
      <c r="M544" s="1"/>
      <c r="N544" s="1" t="s">
        <v>223</v>
      </c>
      <c r="O544" s="1" t="s">
        <v>224</v>
      </c>
      <c r="P544" s="1" t="s">
        <v>2840</v>
      </c>
      <c r="Q544" s="1" t="s">
        <v>4</v>
      </c>
      <c r="R544" s="1" t="s">
        <v>4</v>
      </c>
      <c r="S544" s="1" t="s">
        <v>10</v>
      </c>
      <c r="T544" s="1"/>
      <c r="U544" s="1"/>
      <c r="V544" s="1"/>
      <c r="W544" s="1" t="s">
        <v>1963</v>
      </c>
      <c r="X544" s="16">
        <v>492025</v>
      </c>
      <c r="Y544" s="16">
        <v>492025</v>
      </c>
      <c r="Z544" s="1" t="s">
        <v>781</v>
      </c>
      <c r="AA544" s="1" t="s">
        <v>3092</v>
      </c>
      <c r="AB544" s="1" t="s">
        <v>3093</v>
      </c>
      <c r="AC544" s="1" t="s">
        <v>3094</v>
      </c>
      <c r="AD544" s="1" t="s">
        <v>17</v>
      </c>
      <c r="AE544" s="1" t="s">
        <v>3095</v>
      </c>
      <c r="AF544" s="1" t="s">
        <v>19</v>
      </c>
      <c r="AG544" s="1" t="s">
        <v>19</v>
      </c>
      <c r="AH544" s="16">
        <v>1436875.88</v>
      </c>
    </row>
    <row r="545" spans="2:34" ht="15">
      <c r="B545" s="4" t="s">
        <v>20</v>
      </c>
      <c r="C545" s="5">
        <v>43819</v>
      </c>
      <c r="D545" s="4" t="s">
        <v>21</v>
      </c>
      <c r="E545" s="4" t="s">
        <v>3096</v>
      </c>
      <c r="F545" s="4" t="s">
        <v>3</v>
      </c>
      <c r="G545" s="4" t="s">
        <v>4</v>
      </c>
      <c r="H545" s="4" t="s">
        <v>325</v>
      </c>
      <c r="I545" s="5">
        <v>43818</v>
      </c>
      <c r="J545" s="6">
        <v>0.5145833333333333</v>
      </c>
      <c r="K545" s="5">
        <v>43822</v>
      </c>
      <c r="L545" s="4" t="s">
        <v>2256</v>
      </c>
      <c r="M545" s="4"/>
      <c r="N545" s="4" t="s">
        <v>2920</v>
      </c>
      <c r="O545" s="4" t="s">
        <v>2921</v>
      </c>
      <c r="P545" s="4" t="s">
        <v>2922</v>
      </c>
      <c r="Q545" s="4" t="s">
        <v>4</v>
      </c>
      <c r="R545" s="4" t="s">
        <v>4</v>
      </c>
      <c r="S545" s="4" t="s">
        <v>10</v>
      </c>
      <c r="T545" s="4"/>
      <c r="U545" s="4"/>
      <c r="V545" s="4"/>
      <c r="W545" s="4" t="s">
        <v>1963</v>
      </c>
      <c r="X545" s="17">
        <v>563857</v>
      </c>
      <c r="Y545" s="17">
        <v>563857</v>
      </c>
      <c r="Z545" s="4" t="s">
        <v>3098</v>
      </c>
      <c r="AA545" s="4" t="s">
        <v>3099</v>
      </c>
      <c r="AB545" s="4" t="s">
        <v>3100</v>
      </c>
      <c r="AC545" s="4" t="s">
        <v>3101</v>
      </c>
      <c r="AD545" s="4" t="s">
        <v>17</v>
      </c>
      <c r="AE545" s="4" t="s">
        <v>18</v>
      </c>
      <c r="AF545" s="4" t="s">
        <v>19</v>
      </c>
      <c r="AG545" s="4" t="s">
        <v>19</v>
      </c>
      <c r="AH545" s="17">
        <v>1587608.05</v>
      </c>
    </row>
    <row r="546" spans="2:34" ht="15">
      <c r="B546" s="1" t="s">
        <v>20</v>
      </c>
      <c r="C546" s="2">
        <v>43819</v>
      </c>
      <c r="D546" s="1" t="s">
        <v>21</v>
      </c>
      <c r="E546" s="1" t="s">
        <v>3102</v>
      </c>
      <c r="F546" s="1" t="s">
        <v>3</v>
      </c>
      <c r="G546" s="1" t="s">
        <v>4</v>
      </c>
      <c r="H546" s="1" t="s">
        <v>109</v>
      </c>
      <c r="I546" s="2">
        <v>43818</v>
      </c>
      <c r="J546" s="3">
        <v>0.6277777777777778</v>
      </c>
      <c r="K546" s="2">
        <v>43822</v>
      </c>
      <c r="L546" s="1" t="s">
        <v>2256</v>
      </c>
      <c r="M546" s="1"/>
      <c r="N546" s="1" t="s">
        <v>1407</v>
      </c>
      <c r="O546" s="1" t="s">
        <v>1408</v>
      </c>
      <c r="P546" s="1" t="s">
        <v>3103</v>
      </c>
      <c r="Q546" s="1" t="s">
        <v>4</v>
      </c>
      <c r="R546" s="1" t="s">
        <v>4</v>
      </c>
      <c r="S546" s="1" t="s">
        <v>10</v>
      </c>
      <c r="T546" s="1"/>
      <c r="U546" s="1"/>
      <c r="V546" s="1"/>
      <c r="W546" s="1" t="s">
        <v>1963</v>
      </c>
      <c r="X546" s="16">
        <v>816000</v>
      </c>
      <c r="Y546" s="16">
        <v>816000</v>
      </c>
      <c r="Z546" s="1" t="s">
        <v>413</v>
      </c>
      <c r="AA546" s="1" t="s">
        <v>3105</v>
      </c>
      <c r="AB546" s="1" t="s">
        <v>3106</v>
      </c>
      <c r="AC546" s="1" t="s">
        <v>3107</v>
      </c>
      <c r="AD546" s="1" t="s">
        <v>17</v>
      </c>
      <c r="AE546" s="1" t="s">
        <v>18</v>
      </c>
      <c r="AF546" s="1" t="s">
        <v>19</v>
      </c>
      <c r="AG546" s="1" t="s">
        <v>19</v>
      </c>
      <c r="AH546" s="16">
        <v>2207607.4</v>
      </c>
    </row>
    <row r="547" spans="2:34" ht="15">
      <c r="B547" s="4" t="s">
        <v>0</v>
      </c>
      <c r="C547" s="5">
        <v>43819</v>
      </c>
      <c r="D547" s="4" t="s">
        <v>1</v>
      </c>
      <c r="E547" s="4" t="s">
        <v>3108</v>
      </c>
      <c r="F547" s="4" t="s">
        <v>3</v>
      </c>
      <c r="G547" s="4" t="s">
        <v>4</v>
      </c>
      <c r="H547" s="4" t="s">
        <v>23</v>
      </c>
      <c r="I547" s="5">
        <v>43818</v>
      </c>
      <c r="J547" s="6">
        <v>0.6490625</v>
      </c>
      <c r="K547" s="5">
        <v>43822</v>
      </c>
      <c r="L547" s="4" t="s">
        <v>2256</v>
      </c>
      <c r="M547" s="4"/>
      <c r="N547" s="4" t="s">
        <v>554</v>
      </c>
      <c r="O547" s="4" t="s">
        <v>555</v>
      </c>
      <c r="P547" s="4" t="s">
        <v>3109</v>
      </c>
      <c r="Q547" s="4" t="s">
        <v>4</v>
      </c>
      <c r="R547" s="4" t="s">
        <v>4</v>
      </c>
      <c r="S547" s="4" t="s">
        <v>10</v>
      </c>
      <c r="T547" s="4"/>
      <c r="U547" s="4"/>
      <c r="V547" s="4"/>
      <c r="W547" s="4" t="s">
        <v>1963</v>
      </c>
      <c r="X547" s="17">
        <v>500000</v>
      </c>
      <c r="Y547" s="17">
        <v>500000</v>
      </c>
      <c r="Z547" s="4" t="s">
        <v>3110</v>
      </c>
      <c r="AA547" s="4" t="s">
        <v>3111</v>
      </c>
      <c r="AB547" s="4" t="s">
        <v>3112</v>
      </c>
      <c r="AC547" s="4" t="s">
        <v>3113</v>
      </c>
      <c r="AD547" s="4" t="s">
        <v>17</v>
      </c>
      <c r="AE547" s="4" t="s">
        <v>18</v>
      </c>
      <c r="AF547" s="4" t="s">
        <v>19</v>
      </c>
      <c r="AG547" s="4" t="s">
        <v>19</v>
      </c>
      <c r="AH547" s="17">
        <v>247996</v>
      </c>
    </row>
    <row r="548" spans="2:34" ht="15">
      <c r="B548" s="1" t="s">
        <v>0</v>
      </c>
      <c r="C548" s="2">
        <v>43819</v>
      </c>
      <c r="D548" s="1" t="s">
        <v>1</v>
      </c>
      <c r="E548" s="1" t="s">
        <v>3114</v>
      </c>
      <c r="F548" s="1" t="s">
        <v>3</v>
      </c>
      <c r="G548" s="1" t="s">
        <v>4</v>
      </c>
      <c r="H548" s="1" t="s">
        <v>109</v>
      </c>
      <c r="I548" s="2">
        <v>43818</v>
      </c>
      <c r="J548" s="3">
        <v>0.6277777777777778</v>
      </c>
      <c r="K548" s="2">
        <v>43822</v>
      </c>
      <c r="L548" s="1" t="s">
        <v>2256</v>
      </c>
      <c r="M548" s="1"/>
      <c r="N548" s="1" t="s">
        <v>1407</v>
      </c>
      <c r="O548" s="1" t="s">
        <v>1408</v>
      </c>
      <c r="P548" s="1" t="s">
        <v>3103</v>
      </c>
      <c r="Q548" s="1" t="s">
        <v>4</v>
      </c>
      <c r="R548" s="1" t="s">
        <v>4</v>
      </c>
      <c r="S548" s="1" t="s">
        <v>10</v>
      </c>
      <c r="T548" s="1"/>
      <c r="U548" s="1"/>
      <c r="V548" s="1"/>
      <c r="W548" s="1" t="s">
        <v>1963</v>
      </c>
      <c r="X548" s="16">
        <v>180000</v>
      </c>
      <c r="Y548" s="16">
        <v>180000</v>
      </c>
      <c r="Z548" s="1" t="s">
        <v>413</v>
      </c>
      <c r="AA548" s="1" t="s">
        <v>3116</v>
      </c>
      <c r="AB548" s="1" t="s">
        <v>3117</v>
      </c>
      <c r="AC548" s="1" t="s">
        <v>3118</v>
      </c>
      <c r="AD548" s="1" t="s">
        <v>17</v>
      </c>
      <c r="AE548" s="1" t="s">
        <v>18</v>
      </c>
      <c r="AF548" s="1" t="s">
        <v>19</v>
      </c>
      <c r="AG548" s="1" t="s">
        <v>19</v>
      </c>
      <c r="AH548" s="16">
        <v>486973</v>
      </c>
    </row>
    <row r="549" spans="2:34" ht="15">
      <c r="B549" s="4" t="s">
        <v>153</v>
      </c>
      <c r="C549" s="5">
        <v>43819</v>
      </c>
      <c r="D549" s="4" t="s">
        <v>154</v>
      </c>
      <c r="E549" s="4" t="s">
        <v>3119</v>
      </c>
      <c r="F549" s="4" t="s">
        <v>3</v>
      </c>
      <c r="G549" s="4" t="s">
        <v>4</v>
      </c>
      <c r="H549" s="4" t="s">
        <v>325</v>
      </c>
      <c r="I549" s="5">
        <v>43818</v>
      </c>
      <c r="J549" s="6">
        <v>0.65625</v>
      </c>
      <c r="K549" s="5">
        <v>43822</v>
      </c>
      <c r="L549" s="4" t="s">
        <v>2256</v>
      </c>
      <c r="M549" s="4"/>
      <c r="N549" s="4" t="s">
        <v>223</v>
      </c>
      <c r="O549" s="4" t="s">
        <v>224</v>
      </c>
      <c r="P549" s="4" t="s">
        <v>2840</v>
      </c>
      <c r="Q549" s="4" t="s">
        <v>4</v>
      </c>
      <c r="R549" s="4" t="s">
        <v>4</v>
      </c>
      <c r="S549" s="4" t="s">
        <v>10</v>
      </c>
      <c r="T549" s="4"/>
      <c r="U549" s="4"/>
      <c r="V549" s="4"/>
      <c r="W549" s="4" t="s">
        <v>1963</v>
      </c>
      <c r="X549" s="17">
        <v>7975</v>
      </c>
      <c r="Y549" s="17">
        <v>7975</v>
      </c>
      <c r="Z549" s="4" t="s">
        <v>781</v>
      </c>
      <c r="AA549" s="4" t="s">
        <v>3121</v>
      </c>
      <c r="AB549" s="4" t="s">
        <v>3122</v>
      </c>
      <c r="AC549" s="4" t="s">
        <v>3123</v>
      </c>
      <c r="AD549" s="4" t="s">
        <v>17</v>
      </c>
      <c r="AE549" s="4" t="s">
        <v>3124</v>
      </c>
      <c r="AF549" s="4" t="s">
        <v>19</v>
      </c>
      <c r="AG549" s="4" t="s">
        <v>19</v>
      </c>
      <c r="AH549" s="17">
        <v>23290.63</v>
      </c>
    </row>
    <row r="550" spans="2:34" ht="15">
      <c r="B550" s="1" t="s">
        <v>153</v>
      </c>
      <c r="C550" s="2">
        <v>43819</v>
      </c>
      <c r="D550" s="1" t="s">
        <v>154</v>
      </c>
      <c r="E550" s="1" t="s">
        <v>3125</v>
      </c>
      <c r="F550" s="1" t="s">
        <v>3</v>
      </c>
      <c r="G550" s="1" t="s">
        <v>4</v>
      </c>
      <c r="H550" s="1" t="s">
        <v>325</v>
      </c>
      <c r="I550" s="2">
        <v>43818</v>
      </c>
      <c r="J550" s="3">
        <v>0.5145833333333333</v>
      </c>
      <c r="K550" s="2">
        <v>43822</v>
      </c>
      <c r="L550" s="1" t="s">
        <v>2256</v>
      </c>
      <c r="M550" s="1"/>
      <c r="N550" s="1" t="s">
        <v>2920</v>
      </c>
      <c r="O550" s="1" t="s">
        <v>2921</v>
      </c>
      <c r="P550" s="1" t="s">
        <v>2922</v>
      </c>
      <c r="Q550" s="1" t="s">
        <v>4</v>
      </c>
      <c r="R550" s="1" t="s">
        <v>4</v>
      </c>
      <c r="S550" s="1" t="s">
        <v>10</v>
      </c>
      <c r="T550" s="1"/>
      <c r="U550" s="1"/>
      <c r="V550" s="1"/>
      <c r="W550" s="1" t="s">
        <v>1963</v>
      </c>
      <c r="X550" s="16">
        <v>11143</v>
      </c>
      <c r="Y550" s="16">
        <v>11143</v>
      </c>
      <c r="Z550" s="1" t="s">
        <v>3098</v>
      </c>
      <c r="AA550" s="1" t="s">
        <v>3127</v>
      </c>
      <c r="AB550" s="1" t="s">
        <v>3128</v>
      </c>
      <c r="AC550" s="1" t="s">
        <v>3129</v>
      </c>
      <c r="AD550" s="1" t="s">
        <v>17</v>
      </c>
      <c r="AE550" s="1" t="s">
        <v>18</v>
      </c>
      <c r="AF550" s="1" t="s">
        <v>19</v>
      </c>
      <c r="AG550" s="1" t="s">
        <v>19</v>
      </c>
      <c r="AH550" s="16">
        <v>31375.45</v>
      </c>
    </row>
    <row r="551" spans="2:34" ht="15">
      <c r="B551" s="4" t="s">
        <v>20</v>
      </c>
      <c r="C551" s="5">
        <v>43822</v>
      </c>
      <c r="D551" s="4" t="s">
        <v>21</v>
      </c>
      <c r="E551" s="4" t="s">
        <v>3130</v>
      </c>
      <c r="F551" s="4" t="s">
        <v>3</v>
      </c>
      <c r="G551" s="4" t="s">
        <v>4</v>
      </c>
      <c r="H551" s="4" t="s">
        <v>632</v>
      </c>
      <c r="I551" s="5">
        <v>43819</v>
      </c>
      <c r="J551" s="6">
        <v>0.6847453703703704</v>
      </c>
      <c r="K551" s="5">
        <v>43823</v>
      </c>
      <c r="L551" s="4" t="s">
        <v>2256</v>
      </c>
      <c r="M551" s="4"/>
      <c r="N551" s="4" t="s">
        <v>174</v>
      </c>
      <c r="O551" s="4" t="s">
        <v>175</v>
      </c>
      <c r="P551" s="4" t="s">
        <v>2863</v>
      </c>
      <c r="Q551" s="4" t="s">
        <v>4</v>
      </c>
      <c r="R551" s="4" t="s">
        <v>4</v>
      </c>
      <c r="S551" s="4" t="s">
        <v>10</v>
      </c>
      <c r="T551" s="4"/>
      <c r="U551" s="4"/>
      <c r="V551" s="4"/>
      <c r="W551" s="4" t="s">
        <v>1963</v>
      </c>
      <c r="X551" s="17">
        <v>765000</v>
      </c>
      <c r="Y551" s="17">
        <v>765000</v>
      </c>
      <c r="Z551" s="4" t="s">
        <v>3132</v>
      </c>
      <c r="AA551" s="4" t="s">
        <v>3133</v>
      </c>
      <c r="AB551" s="4" t="s">
        <v>3134</v>
      </c>
      <c r="AC551" s="4" t="s">
        <v>3135</v>
      </c>
      <c r="AD551" s="4" t="s">
        <v>17</v>
      </c>
      <c r="AE551" s="4" t="s">
        <v>18</v>
      </c>
      <c r="AF551" s="4" t="s">
        <v>19</v>
      </c>
      <c r="AG551" s="4" t="s">
        <v>19</v>
      </c>
      <c r="AH551" s="17">
        <v>697543.3</v>
      </c>
    </row>
    <row r="552" spans="2:34" ht="15">
      <c r="B552" s="1" t="s">
        <v>20</v>
      </c>
      <c r="C552" s="2">
        <v>43822</v>
      </c>
      <c r="D552" s="1" t="s">
        <v>21</v>
      </c>
      <c r="E552" s="1" t="s">
        <v>3136</v>
      </c>
      <c r="F552" s="1" t="s">
        <v>3</v>
      </c>
      <c r="G552" s="1" t="s">
        <v>4</v>
      </c>
      <c r="H552" s="1" t="s">
        <v>119</v>
      </c>
      <c r="I552" s="2">
        <v>43819</v>
      </c>
      <c r="J552" s="3">
        <v>0.6499305555555556</v>
      </c>
      <c r="K552" s="2">
        <v>43823</v>
      </c>
      <c r="L552" s="1" t="s">
        <v>2256</v>
      </c>
      <c r="M552" s="1"/>
      <c r="N552" s="1" t="s">
        <v>3008</v>
      </c>
      <c r="O552" s="1" t="s">
        <v>3009</v>
      </c>
      <c r="P552" s="1" t="s">
        <v>3010</v>
      </c>
      <c r="Q552" s="1" t="s">
        <v>4</v>
      </c>
      <c r="R552" s="1" t="s">
        <v>4</v>
      </c>
      <c r="S552" s="1" t="s">
        <v>10</v>
      </c>
      <c r="T552" s="1"/>
      <c r="U552" s="1"/>
      <c r="V552" s="1"/>
      <c r="W552" s="1" t="s">
        <v>1963</v>
      </c>
      <c r="X552" s="16">
        <v>75000</v>
      </c>
      <c r="Y552" s="16">
        <v>75000</v>
      </c>
      <c r="Z552" s="1" t="s">
        <v>2222</v>
      </c>
      <c r="AA552" s="1" t="s">
        <v>541</v>
      </c>
      <c r="AB552" s="1" t="s">
        <v>3137</v>
      </c>
      <c r="AC552" s="1" t="s">
        <v>720</v>
      </c>
      <c r="AD552" s="1" t="s">
        <v>17</v>
      </c>
      <c r="AE552" s="1" t="s">
        <v>18</v>
      </c>
      <c r="AF552" s="1" t="s">
        <v>19</v>
      </c>
      <c r="AG552" s="1" t="s">
        <v>19</v>
      </c>
      <c r="AH552" s="16">
        <v>300601</v>
      </c>
    </row>
    <row r="553" spans="2:34" ht="15">
      <c r="B553" s="4" t="s">
        <v>20</v>
      </c>
      <c r="C553" s="5">
        <v>43822</v>
      </c>
      <c r="D553" s="4" t="s">
        <v>21</v>
      </c>
      <c r="E553" s="4" t="s">
        <v>3138</v>
      </c>
      <c r="F553" s="4" t="s">
        <v>3</v>
      </c>
      <c r="G553" s="4" t="s">
        <v>4</v>
      </c>
      <c r="H553" s="4" t="s">
        <v>325</v>
      </c>
      <c r="I553" s="5">
        <v>43819</v>
      </c>
      <c r="J553" s="6">
        <v>0.4791666666666667</v>
      </c>
      <c r="K553" s="5">
        <v>43823</v>
      </c>
      <c r="L553" s="4" t="s">
        <v>2256</v>
      </c>
      <c r="M553" s="4"/>
      <c r="N553" s="4" t="s">
        <v>316</v>
      </c>
      <c r="O553" s="4" t="s">
        <v>317</v>
      </c>
      <c r="P553" s="4" t="s">
        <v>2362</v>
      </c>
      <c r="Q553" s="4" t="s">
        <v>4</v>
      </c>
      <c r="R553" s="4" t="s">
        <v>4</v>
      </c>
      <c r="S553" s="4" t="s">
        <v>10</v>
      </c>
      <c r="T553" s="4"/>
      <c r="U553" s="4"/>
      <c r="V553" s="4"/>
      <c r="W553" s="4" t="s">
        <v>1963</v>
      </c>
      <c r="X553" s="17">
        <v>263445</v>
      </c>
      <c r="Y553" s="17">
        <v>263445</v>
      </c>
      <c r="Z553" s="4" t="s">
        <v>3140</v>
      </c>
      <c r="AA553" s="4" t="s">
        <v>3141</v>
      </c>
      <c r="AB553" s="4" t="s">
        <v>3142</v>
      </c>
      <c r="AC553" s="4" t="s">
        <v>3143</v>
      </c>
      <c r="AD553" s="4" t="s">
        <v>17</v>
      </c>
      <c r="AE553" s="4" t="s">
        <v>3144</v>
      </c>
      <c r="AF553" s="4" t="s">
        <v>19</v>
      </c>
      <c r="AG553" s="4" t="s">
        <v>19</v>
      </c>
      <c r="AH553" s="17">
        <v>350186.1</v>
      </c>
    </row>
    <row r="554" spans="2:34" ht="15">
      <c r="B554" s="1" t="s">
        <v>20</v>
      </c>
      <c r="C554" s="2">
        <v>43822</v>
      </c>
      <c r="D554" s="1" t="s">
        <v>21</v>
      </c>
      <c r="E554" s="1" t="s">
        <v>3145</v>
      </c>
      <c r="F554" s="1" t="s">
        <v>3</v>
      </c>
      <c r="G554" s="1" t="s">
        <v>4</v>
      </c>
      <c r="H554" s="1" t="s">
        <v>1366</v>
      </c>
      <c r="I554" s="2">
        <v>43819</v>
      </c>
      <c r="J554" s="3">
        <v>0.6673611111111111</v>
      </c>
      <c r="K554" s="2">
        <v>43823</v>
      </c>
      <c r="L554" s="1" t="s">
        <v>2256</v>
      </c>
      <c r="M554" s="1"/>
      <c r="N554" s="1" t="s">
        <v>2790</v>
      </c>
      <c r="O554" s="1" t="s">
        <v>2791</v>
      </c>
      <c r="P554" s="1" t="s">
        <v>2792</v>
      </c>
      <c r="Q554" s="1" t="s">
        <v>4</v>
      </c>
      <c r="R554" s="1" t="s">
        <v>4</v>
      </c>
      <c r="S554" s="1" t="s">
        <v>10</v>
      </c>
      <c r="T554" s="1"/>
      <c r="U554" s="1"/>
      <c r="V554" s="1"/>
      <c r="W554" s="1" t="s">
        <v>1963</v>
      </c>
      <c r="X554" s="16">
        <v>220000</v>
      </c>
      <c r="Y554" s="16">
        <v>220000</v>
      </c>
      <c r="Z554" s="1" t="s">
        <v>2144</v>
      </c>
      <c r="AA554" s="1" t="s">
        <v>3146</v>
      </c>
      <c r="AB554" s="1" t="s">
        <v>3147</v>
      </c>
      <c r="AC554" s="1" t="s">
        <v>3148</v>
      </c>
      <c r="AD554" s="1" t="s">
        <v>17</v>
      </c>
      <c r="AE554" s="1" t="s">
        <v>18</v>
      </c>
      <c r="AF554" s="1" t="s">
        <v>19</v>
      </c>
      <c r="AG554" s="1" t="s">
        <v>19</v>
      </c>
      <c r="AH554" s="16">
        <v>352705</v>
      </c>
    </row>
    <row r="555" spans="2:34" ht="15">
      <c r="B555" s="4" t="s">
        <v>20</v>
      </c>
      <c r="C555" s="5">
        <v>43822</v>
      </c>
      <c r="D555" s="4" t="s">
        <v>21</v>
      </c>
      <c r="E555" s="4" t="s">
        <v>3149</v>
      </c>
      <c r="F555" s="4" t="s">
        <v>3</v>
      </c>
      <c r="G555" s="4" t="s">
        <v>4</v>
      </c>
      <c r="H555" s="4" t="s">
        <v>632</v>
      </c>
      <c r="I555" s="5">
        <v>43819</v>
      </c>
      <c r="J555" s="6">
        <v>0.6858217592592593</v>
      </c>
      <c r="K555" s="5">
        <v>43823</v>
      </c>
      <c r="L555" s="4" t="s">
        <v>2256</v>
      </c>
      <c r="M555" s="4"/>
      <c r="N555" s="4" t="s">
        <v>2790</v>
      </c>
      <c r="O555" s="4" t="s">
        <v>2791</v>
      </c>
      <c r="P555" s="4" t="s">
        <v>2792</v>
      </c>
      <c r="Q555" s="4" t="s">
        <v>4</v>
      </c>
      <c r="R555" s="4" t="s">
        <v>4</v>
      </c>
      <c r="S555" s="4" t="s">
        <v>10</v>
      </c>
      <c r="T555" s="4"/>
      <c r="U555" s="4"/>
      <c r="V555" s="4"/>
      <c r="W555" s="4" t="s">
        <v>1963</v>
      </c>
      <c r="X555" s="17">
        <v>25000</v>
      </c>
      <c r="Y555" s="17">
        <v>25000</v>
      </c>
      <c r="Z555" s="4" t="s">
        <v>2144</v>
      </c>
      <c r="AA555" s="4" t="s">
        <v>959</v>
      </c>
      <c r="AB555" s="4" t="s">
        <v>3150</v>
      </c>
      <c r="AC555" s="4" t="s">
        <v>3151</v>
      </c>
      <c r="AD555" s="4" t="s">
        <v>17</v>
      </c>
      <c r="AE555" s="4" t="s">
        <v>17</v>
      </c>
      <c r="AF555" s="4" t="s">
        <v>19</v>
      </c>
      <c r="AG555" s="4" t="s">
        <v>19</v>
      </c>
      <c r="AH555" s="17">
        <v>40080</v>
      </c>
    </row>
    <row r="556" spans="2:34" ht="15">
      <c r="B556" s="1" t="s">
        <v>20</v>
      </c>
      <c r="C556" s="2">
        <v>43822</v>
      </c>
      <c r="D556" s="1" t="s">
        <v>21</v>
      </c>
      <c r="E556" s="1" t="s">
        <v>3045</v>
      </c>
      <c r="F556" s="1" t="s">
        <v>3</v>
      </c>
      <c r="G556" s="1" t="s">
        <v>4</v>
      </c>
      <c r="H556" s="1" t="s">
        <v>183</v>
      </c>
      <c r="I556" s="2">
        <v>43819</v>
      </c>
      <c r="J556" s="3">
        <v>0.5247222222222222</v>
      </c>
      <c r="K556" s="2">
        <v>43823</v>
      </c>
      <c r="L556" s="1" t="s">
        <v>2256</v>
      </c>
      <c r="M556" s="1"/>
      <c r="N556" s="1" t="s">
        <v>1253</v>
      </c>
      <c r="O556" s="1" t="s">
        <v>1254</v>
      </c>
      <c r="P556" s="1" t="s">
        <v>2774</v>
      </c>
      <c r="Q556" s="1" t="s">
        <v>4</v>
      </c>
      <c r="R556" s="1" t="s">
        <v>4</v>
      </c>
      <c r="S556" s="1" t="s">
        <v>10</v>
      </c>
      <c r="T556" s="1"/>
      <c r="U556" s="1"/>
      <c r="V556" s="1"/>
      <c r="W556" s="1" t="s">
        <v>1963</v>
      </c>
      <c r="X556" s="16">
        <v>21465</v>
      </c>
      <c r="Y556" s="16">
        <v>21465</v>
      </c>
      <c r="Z556" s="1" t="s">
        <v>3153</v>
      </c>
      <c r="AA556" s="1" t="s">
        <v>3154</v>
      </c>
      <c r="AB556" s="1" t="s">
        <v>3155</v>
      </c>
      <c r="AC556" s="1" t="s">
        <v>3156</v>
      </c>
      <c r="AD556" s="1" t="s">
        <v>17</v>
      </c>
      <c r="AE556" s="1" t="s">
        <v>17</v>
      </c>
      <c r="AF556" s="1" t="s">
        <v>19</v>
      </c>
      <c r="AG556" s="1" t="s">
        <v>19</v>
      </c>
      <c r="AH556" s="16">
        <v>6353.442522</v>
      </c>
    </row>
    <row r="557" spans="2:34" ht="15">
      <c r="B557" s="4" t="s">
        <v>20</v>
      </c>
      <c r="C557" s="5">
        <v>43822</v>
      </c>
      <c r="D557" s="4" t="s">
        <v>21</v>
      </c>
      <c r="E557" s="4" t="s">
        <v>3157</v>
      </c>
      <c r="F557" s="4" t="s">
        <v>3</v>
      </c>
      <c r="G557" s="4" t="s">
        <v>4</v>
      </c>
      <c r="H557" s="4" t="s">
        <v>632</v>
      </c>
      <c r="I557" s="5">
        <v>43819</v>
      </c>
      <c r="J557" s="6">
        <v>0.6859259259259259</v>
      </c>
      <c r="K557" s="5">
        <v>43823</v>
      </c>
      <c r="L557" s="4" t="s">
        <v>2256</v>
      </c>
      <c r="M557" s="4"/>
      <c r="N557" s="4" t="s">
        <v>214</v>
      </c>
      <c r="O557" s="4" t="s">
        <v>215</v>
      </c>
      <c r="P557" s="4" t="s">
        <v>2960</v>
      </c>
      <c r="Q557" s="4" t="s">
        <v>4</v>
      </c>
      <c r="R557" s="4" t="s">
        <v>4</v>
      </c>
      <c r="S557" s="4" t="s">
        <v>10</v>
      </c>
      <c r="T557" s="4"/>
      <c r="U557" s="4"/>
      <c r="V557" s="4"/>
      <c r="W557" s="4" t="s">
        <v>1963</v>
      </c>
      <c r="X557" s="17">
        <v>47647</v>
      </c>
      <c r="Y557" s="17">
        <v>47647</v>
      </c>
      <c r="Z557" s="4" t="s">
        <v>3159</v>
      </c>
      <c r="AA557" s="4" t="s">
        <v>3160</v>
      </c>
      <c r="AB557" s="4" t="s">
        <v>3161</v>
      </c>
      <c r="AC557" s="4" t="s">
        <v>3162</v>
      </c>
      <c r="AD557" s="4" t="s">
        <v>17</v>
      </c>
      <c r="AE557" s="4" t="s">
        <v>3163</v>
      </c>
      <c r="AF557" s="4" t="s">
        <v>19</v>
      </c>
      <c r="AG557" s="4" t="s">
        <v>19</v>
      </c>
      <c r="AH557" s="17">
        <v>130811.4395</v>
      </c>
    </row>
    <row r="558" spans="2:34" ht="15">
      <c r="B558" s="1" t="s">
        <v>0</v>
      </c>
      <c r="C558" s="2">
        <v>43822</v>
      </c>
      <c r="D558" s="1" t="s">
        <v>1</v>
      </c>
      <c r="E558" s="1" t="s">
        <v>3164</v>
      </c>
      <c r="F558" s="1" t="s">
        <v>3</v>
      </c>
      <c r="G558" s="1" t="s">
        <v>4</v>
      </c>
      <c r="H558" s="1" t="s">
        <v>632</v>
      </c>
      <c r="I558" s="2">
        <v>43819</v>
      </c>
      <c r="J558" s="3">
        <v>0.6847453703703704</v>
      </c>
      <c r="K558" s="2">
        <v>43823</v>
      </c>
      <c r="L558" s="1" t="s">
        <v>2256</v>
      </c>
      <c r="M558" s="1"/>
      <c r="N558" s="1" t="s">
        <v>174</v>
      </c>
      <c r="O558" s="1" t="s">
        <v>175</v>
      </c>
      <c r="P558" s="1" t="s">
        <v>2863</v>
      </c>
      <c r="Q558" s="1" t="s">
        <v>4</v>
      </c>
      <c r="R558" s="1" t="s">
        <v>4</v>
      </c>
      <c r="S558" s="1" t="s">
        <v>10</v>
      </c>
      <c r="T558" s="1"/>
      <c r="U558" s="1"/>
      <c r="V558" s="1"/>
      <c r="W558" s="1" t="s">
        <v>1963</v>
      </c>
      <c r="X558" s="16">
        <v>85000</v>
      </c>
      <c r="Y558" s="16">
        <v>85000</v>
      </c>
      <c r="Z558" s="1" t="s">
        <v>3132</v>
      </c>
      <c r="AA558" s="1" t="s">
        <v>3165</v>
      </c>
      <c r="AB558" s="1" t="s">
        <v>3166</v>
      </c>
      <c r="AC558" s="1" t="s">
        <v>3167</v>
      </c>
      <c r="AD558" s="1" t="s">
        <v>17</v>
      </c>
      <c r="AE558" s="1" t="s">
        <v>18</v>
      </c>
      <c r="AF558" s="1" t="s">
        <v>19</v>
      </c>
      <c r="AG558" s="1" t="s">
        <v>19</v>
      </c>
      <c r="AH558" s="16">
        <v>77505.7</v>
      </c>
    </row>
    <row r="559" spans="2:34" ht="15">
      <c r="B559" s="4" t="s">
        <v>20</v>
      </c>
      <c r="C559" s="5">
        <v>43823</v>
      </c>
      <c r="D559" s="4" t="s">
        <v>21</v>
      </c>
      <c r="E559" s="4" t="s">
        <v>3168</v>
      </c>
      <c r="F559" s="4" t="s">
        <v>3</v>
      </c>
      <c r="G559" s="4" t="s">
        <v>4</v>
      </c>
      <c r="H559" s="4" t="s">
        <v>325</v>
      </c>
      <c r="I559" s="5">
        <v>43822</v>
      </c>
      <c r="J559" s="6">
        <v>0.54375</v>
      </c>
      <c r="K559" s="5">
        <v>43826</v>
      </c>
      <c r="L559" s="4" t="s">
        <v>2256</v>
      </c>
      <c r="M559" s="4"/>
      <c r="N559" s="4" t="s">
        <v>1082</v>
      </c>
      <c r="O559" s="4" t="s">
        <v>1065</v>
      </c>
      <c r="P559" s="4" t="s">
        <v>2828</v>
      </c>
      <c r="Q559" s="4" t="s">
        <v>4</v>
      </c>
      <c r="R559" s="4" t="s">
        <v>4</v>
      </c>
      <c r="S559" s="4" t="s">
        <v>10</v>
      </c>
      <c r="T559" s="4"/>
      <c r="U559" s="4"/>
      <c r="V559" s="4"/>
      <c r="W559" s="4" t="s">
        <v>1963</v>
      </c>
      <c r="X559" s="17">
        <v>502521</v>
      </c>
      <c r="Y559" s="17">
        <v>502521</v>
      </c>
      <c r="Z559" s="4" t="s">
        <v>1498</v>
      </c>
      <c r="AA559" s="4" t="s">
        <v>3170</v>
      </c>
      <c r="AB559" s="4" t="s">
        <v>3171</v>
      </c>
      <c r="AC559" s="4" t="s">
        <v>3172</v>
      </c>
      <c r="AD559" s="4" t="s">
        <v>17</v>
      </c>
      <c r="AE559" s="4" t="s">
        <v>18</v>
      </c>
      <c r="AF559" s="4" t="s">
        <v>19</v>
      </c>
      <c r="AG559" s="4" t="s">
        <v>19</v>
      </c>
      <c r="AH559" s="17">
        <v>1057405.68</v>
      </c>
    </row>
    <row r="560" spans="2:34" ht="15">
      <c r="B560" s="1" t="s">
        <v>20</v>
      </c>
      <c r="C560" s="2">
        <v>43823</v>
      </c>
      <c r="D560" s="1" t="s">
        <v>21</v>
      </c>
      <c r="E560" s="1" t="s">
        <v>3173</v>
      </c>
      <c r="F560" s="1" t="s">
        <v>3</v>
      </c>
      <c r="G560" s="1" t="s">
        <v>4</v>
      </c>
      <c r="H560" s="1" t="s">
        <v>632</v>
      </c>
      <c r="I560" s="2">
        <v>43823</v>
      </c>
      <c r="J560" s="3">
        <v>0.3964814814814815</v>
      </c>
      <c r="K560" s="2">
        <v>43829</v>
      </c>
      <c r="L560" s="1" t="s">
        <v>2256</v>
      </c>
      <c r="M560" s="1"/>
      <c r="N560" s="1" t="s">
        <v>223</v>
      </c>
      <c r="O560" s="1" t="s">
        <v>224</v>
      </c>
      <c r="P560" s="1" t="s">
        <v>2840</v>
      </c>
      <c r="Q560" s="1" t="s">
        <v>4</v>
      </c>
      <c r="R560" s="1" t="s">
        <v>4</v>
      </c>
      <c r="S560" s="1" t="s">
        <v>10</v>
      </c>
      <c r="T560" s="1"/>
      <c r="U560" s="1"/>
      <c r="V560" s="1"/>
      <c r="W560" s="1" t="s">
        <v>1963</v>
      </c>
      <c r="X560" s="16">
        <v>200000</v>
      </c>
      <c r="Y560" s="16">
        <v>200000</v>
      </c>
      <c r="Z560" s="1" t="s">
        <v>839</v>
      </c>
      <c r="AA560" s="1" t="s">
        <v>1429</v>
      </c>
      <c r="AB560" s="1" t="s">
        <v>3174</v>
      </c>
      <c r="AC560" s="1" t="s">
        <v>3175</v>
      </c>
      <c r="AD560" s="1" t="s">
        <v>17</v>
      </c>
      <c r="AE560" s="1" t="s">
        <v>3176</v>
      </c>
      <c r="AF560" s="1" t="s">
        <v>19</v>
      </c>
      <c r="AG560" s="1" t="s">
        <v>19</v>
      </c>
      <c r="AH560" s="16">
        <v>604207</v>
      </c>
    </row>
    <row r="561" spans="2:34" ht="15">
      <c r="B561" s="4" t="s">
        <v>20</v>
      </c>
      <c r="C561" s="5">
        <v>43823</v>
      </c>
      <c r="D561" s="4" t="s">
        <v>21</v>
      </c>
      <c r="E561" s="4" t="s">
        <v>3177</v>
      </c>
      <c r="F561" s="4" t="s">
        <v>3</v>
      </c>
      <c r="G561" s="4" t="s">
        <v>4</v>
      </c>
      <c r="H561" s="4" t="s">
        <v>119</v>
      </c>
      <c r="I561" s="5">
        <v>43823</v>
      </c>
      <c r="J561" s="6">
        <v>0.4312037037037037</v>
      </c>
      <c r="K561" s="5">
        <v>43829</v>
      </c>
      <c r="L561" s="4" t="s">
        <v>2256</v>
      </c>
      <c r="M561" s="4"/>
      <c r="N561" s="4" t="s">
        <v>467</v>
      </c>
      <c r="O561" s="4" t="s">
        <v>468</v>
      </c>
      <c r="P561" s="4" t="s">
        <v>3178</v>
      </c>
      <c r="Q561" s="4" t="s">
        <v>4</v>
      </c>
      <c r="R561" s="4" t="s">
        <v>4</v>
      </c>
      <c r="S561" s="4" t="s">
        <v>10</v>
      </c>
      <c r="T561" s="4"/>
      <c r="U561" s="4"/>
      <c r="V561" s="4"/>
      <c r="W561" s="4" t="s">
        <v>1963</v>
      </c>
      <c r="X561" s="17">
        <v>290594</v>
      </c>
      <c r="Y561" s="17">
        <v>290594</v>
      </c>
      <c r="Z561" s="4" t="s">
        <v>1169</v>
      </c>
      <c r="AA561" s="4" t="s">
        <v>3180</v>
      </c>
      <c r="AB561" s="4" t="s">
        <v>3181</v>
      </c>
      <c r="AC561" s="4" t="s">
        <v>3182</v>
      </c>
      <c r="AD561" s="4" t="s">
        <v>17</v>
      </c>
      <c r="AE561" s="4" t="s">
        <v>18</v>
      </c>
      <c r="AF561" s="4" t="s">
        <v>19</v>
      </c>
      <c r="AG561" s="4" t="s">
        <v>19</v>
      </c>
      <c r="AH561" s="17">
        <v>2242049.95</v>
      </c>
    </row>
    <row r="562" spans="2:34" ht="15">
      <c r="B562" s="1" t="s">
        <v>20</v>
      </c>
      <c r="C562" s="2">
        <v>43823</v>
      </c>
      <c r="D562" s="1" t="s">
        <v>21</v>
      </c>
      <c r="E562" s="1" t="s">
        <v>3183</v>
      </c>
      <c r="F562" s="1" t="s">
        <v>3</v>
      </c>
      <c r="G562" s="1" t="s">
        <v>4</v>
      </c>
      <c r="H562" s="1" t="s">
        <v>632</v>
      </c>
      <c r="I562" s="2">
        <v>43822</v>
      </c>
      <c r="J562" s="3">
        <v>0.7003125</v>
      </c>
      <c r="K562" s="2">
        <v>43826</v>
      </c>
      <c r="L562" s="1" t="s">
        <v>2256</v>
      </c>
      <c r="M562" s="1"/>
      <c r="N562" s="1" t="s">
        <v>174</v>
      </c>
      <c r="O562" s="1" t="s">
        <v>175</v>
      </c>
      <c r="P562" s="1" t="s">
        <v>2863</v>
      </c>
      <c r="Q562" s="1" t="s">
        <v>4</v>
      </c>
      <c r="R562" s="1" t="s">
        <v>4</v>
      </c>
      <c r="S562" s="1" t="s">
        <v>10</v>
      </c>
      <c r="T562" s="1"/>
      <c r="U562" s="1"/>
      <c r="V562" s="1"/>
      <c r="W562" s="1" t="s">
        <v>1963</v>
      </c>
      <c r="X562" s="16">
        <v>152723</v>
      </c>
      <c r="Y562" s="16">
        <v>152723</v>
      </c>
      <c r="Z562" s="1" t="s">
        <v>3185</v>
      </c>
      <c r="AA562" s="1" t="s">
        <v>3186</v>
      </c>
      <c r="AB562" s="1" t="s">
        <v>3187</v>
      </c>
      <c r="AC562" s="1" t="s">
        <v>3188</v>
      </c>
      <c r="AD562" s="1" t="s">
        <v>17</v>
      </c>
      <c r="AE562" s="1" t="s">
        <v>18</v>
      </c>
      <c r="AF562" s="1" t="s">
        <v>19</v>
      </c>
      <c r="AG562" s="1" t="s">
        <v>19</v>
      </c>
      <c r="AH562" s="16">
        <v>141552.3126</v>
      </c>
    </row>
    <row r="563" spans="2:34" ht="15">
      <c r="B563" s="4" t="s">
        <v>0</v>
      </c>
      <c r="C563" s="5">
        <v>43823</v>
      </c>
      <c r="D563" s="4" t="s">
        <v>1</v>
      </c>
      <c r="E563" s="4" t="s">
        <v>3189</v>
      </c>
      <c r="F563" s="4" t="s">
        <v>3</v>
      </c>
      <c r="G563" s="4" t="s">
        <v>4</v>
      </c>
      <c r="H563" s="4" t="s">
        <v>119</v>
      </c>
      <c r="I563" s="5">
        <v>43823</v>
      </c>
      <c r="J563" s="6">
        <v>0.4312037037037037</v>
      </c>
      <c r="K563" s="5">
        <v>43829</v>
      </c>
      <c r="L563" s="4" t="s">
        <v>2256</v>
      </c>
      <c r="M563" s="4"/>
      <c r="N563" s="4" t="s">
        <v>467</v>
      </c>
      <c r="O563" s="4" t="s">
        <v>468</v>
      </c>
      <c r="P563" s="4" t="s">
        <v>3178</v>
      </c>
      <c r="Q563" s="4" t="s">
        <v>4</v>
      </c>
      <c r="R563" s="4" t="s">
        <v>4</v>
      </c>
      <c r="S563" s="4" t="s">
        <v>10</v>
      </c>
      <c r="T563" s="4"/>
      <c r="U563" s="4"/>
      <c r="V563" s="4"/>
      <c r="W563" s="4" t="s">
        <v>1963</v>
      </c>
      <c r="X563" s="17">
        <v>59406</v>
      </c>
      <c r="Y563" s="17">
        <v>59406</v>
      </c>
      <c r="Z563" s="4" t="s">
        <v>1169</v>
      </c>
      <c r="AA563" s="4" t="s">
        <v>3191</v>
      </c>
      <c r="AB563" s="4" t="s">
        <v>3192</v>
      </c>
      <c r="AC563" s="4" t="s">
        <v>3193</v>
      </c>
      <c r="AD563" s="4" t="s">
        <v>17</v>
      </c>
      <c r="AE563" s="4" t="s">
        <v>18</v>
      </c>
      <c r="AF563" s="4" t="s">
        <v>19</v>
      </c>
      <c r="AG563" s="4" t="s">
        <v>19</v>
      </c>
      <c r="AH563" s="17">
        <v>458342.05</v>
      </c>
    </row>
    <row r="564" spans="2:34" ht="15">
      <c r="B564" s="1" t="s">
        <v>0</v>
      </c>
      <c r="C564" s="2">
        <v>43823</v>
      </c>
      <c r="D564" s="1" t="s">
        <v>1</v>
      </c>
      <c r="E564" s="1" t="s">
        <v>3194</v>
      </c>
      <c r="F564" s="1" t="s">
        <v>3</v>
      </c>
      <c r="G564" s="1" t="s">
        <v>4</v>
      </c>
      <c r="H564" s="1" t="s">
        <v>632</v>
      </c>
      <c r="I564" s="2">
        <v>43822</v>
      </c>
      <c r="J564" s="3">
        <v>0.7003125</v>
      </c>
      <c r="K564" s="2">
        <v>43826</v>
      </c>
      <c r="L564" s="1" t="s">
        <v>2256</v>
      </c>
      <c r="M564" s="1"/>
      <c r="N564" s="1" t="s">
        <v>174</v>
      </c>
      <c r="O564" s="1" t="s">
        <v>175</v>
      </c>
      <c r="P564" s="1" t="s">
        <v>2863</v>
      </c>
      <c r="Q564" s="1" t="s">
        <v>4</v>
      </c>
      <c r="R564" s="1" t="s">
        <v>4</v>
      </c>
      <c r="S564" s="1" t="s">
        <v>10</v>
      </c>
      <c r="T564" s="1"/>
      <c r="U564" s="1"/>
      <c r="V564" s="1"/>
      <c r="W564" s="1" t="s">
        <v>1963</v>
      </c>
      <c r="X564" s="16">
        <v>19064</v>
      </c>
      <c r="Y564" s="16">
        <v>19064</v>
      </c>
      <c r="Z564" s="1" t="s">
        <v>3185</v>
      </c>
      <c r="AA564" s="1" t="s">
        <v>3196</v>
      </c>
      <c r="AB564" s="1" t="s">
        <v>3197</v>
      </c>
      <c r="AC564" s="1" t="s">
        <v>3198</v>
      </c>
      <c r="AD564" s="1" t="s">
        <v>17</v>
      </c>
      <c r="AE564" s="1" t="s">
        <v>18</v>
      </c>
      <c r="AF564" s="1" t="s">
        <v>19</v>
      </c>
      <c r="AG564" s="1" t="s">
        <v>19</v>
      </c>
      <c r="AH564" s="16">
        <v>17670.4684</v>
      </c>
    </row>
    <row r="565" spans="2:34" ht="15">
      <c r="B565" s="4" t="s">
        <v>153</v>
      </c>
      <c r="C565" s="5">
        <v>43823</v>
      </c>
      <c r="D565" s="4" t="s">
        <v>154</v>
      </c>
      <c r="E565" s="4" t="s">
        <v>3199</v>
      </c>
      <c r="F565" s="4" t="s">
        <v>3</v>
      </c>
      <c r="G565" s="4" t="s">
        <v>4</v>
      </c>
      <c r="H565" s="4" t="s">
        <v>325</v>
      </c>
      <c r="I565" s="5">
        <v>43822</v>
      </c>
      <c r="J565" s="6">
        <v>0.54375</v>
      </c>
      <c r="K565" s="5">
        <v>43826</v>
      </c>
      <c r="L565" s="4" t="s">
        <v>2256</v>
      </c>
      <c r="M565" s="4"/>
      <c r="N565" s="4" t="s">
        <v>1082</v>
      </c>
      <c r="O565" s="4" t="s">
        <v>1065</v>
      </c>
      <c r="P565" s="4" t="s">
        <v>2828</v>
      </c>
      <c r="Q565" s="4" t="s">
        <v>4</v>
      </c>
      <c r="R565" s="4" t="s">
        <v>4</v>
      </c>
      <c r="S565" s="4" t="s">
        <v>10</v>
      </c>
      <c r="T565" s="4"/>
      <c r="U565" s="4"/>
      <c r="V565" s="4"/>
      <c r="W565" s="4" t="s">
        <v>1963</v>
      </c>
      <c r="X565" s="17">
        <v>14780</v>
      </c>
      <c r="Y565" s="17">
        <v>14780</v>
      </c>
      <c r="Z565" s="4" t="s">
        <v>1498</v>
      </c>
      <c r="AA565" s="4" t="s">
        <v>3201</v>
      </c>
      <c r="AB565" s="4" t="s">
        <v>3202</v>
      </c>
      <c r="AC565" s="4" t="s">
        <v>3203</v>
      </c>
      <c r="AD565" s="4" t="s">
        <v>17</v>
      </c>
      <c r="AE565" s="4" t="s">
        <v>18</v>
      </c>
      <c r="AF565" s="4" t="s">
        <v>19</v>
      </c>
      <c r="AG565" s="4" t="s">
        <v>19</v>
      </c>
      <c r="AH565" s="17">
        <v>31101.08</v>
      </c>
    </row>
    <row r="566" spans="2:34" ht="15">
      <c r="B566" s="1" t="s">
        <v>0</v>
      </c>
      <c r="C566" s="2">
        <v>43826</v>
      </c>
      <c r="D566" s="1" t="s">
        <v>1</v>
      </c>
      <c r="E566" s="1" t="s">
        <v>3204</v>
      </c>
      <c r="F566" s="1" t="s">
        <v>3</v>
      </c>
      <c r="G566" s="1" t="s">
        <v>4</v>
      </c>
      <c r="H566" s="1" t="s">
        <v>632</v>
      </c>
      <c r="I566" s="2">
        <v>43823</v>
      </c>
      <c r="J566" s="3">
        <v>0.5800462962962963</v>
      </c>
      <c r="K566" s="2">
        <v>43829</v>
      </c>
      <c r="L566" s="1" t="s">
        <v>2256</v>
      </c>
      <c r="M566" s="1"/>
      <c r="N566" s="1" t="s">
        <v>3205</v>
      </c>
      <c r="O566" s="1" t="s">
        <v>3206</v>
      </c>
      <c r="P566" s="1" t="s">
        <v>3207</v>
      </c>
      <c r="Q566" s="1" t="s">
        <v>4</v>
      </c>
      <c r="R566" s="1" t="s">
        <v>4</v>
      </c>
      <c r="S566" s="1" t="s">
        <v>4</v>
      </c>
      <c r="T566" s="1"/>
      <c r="U566" s="1"/>
      <c r="V566" s="1"/>
      <c r="W566" s="1" t="s">
        <v>1963</v>
      </c>
      <c r="X566" s="16">
        <v>1000000</v>
      </c>
      <c r="Y566" s="16">
        <v>1000000</v>
      </c>
      <c r="Z566" s="1" t="s">
        <v>3208</v>
      </c>
      <c r="AA566" s="1" t="s">
        <v>3209</v>
      </c>
      <c r="AB566" s="1" t="s">
        <v>3210</v>
      </c>
      <c r="AC566" s="1" t="s">
        <v>3211</v>
      </c>
      <c r="AD566" s="1" t="s">
        <v>17</v>
      </c>
      <c r="AE566" s="1" t="s">
        <v>3212</v>
      </c>
      <c r="AF566" s="1" t="s">
        <v>19</v>
      </c>
      <c r="AG566" s="1" t="s">
        <v>19</v>
      </c>
      <c r="AH566" s="16">
        <v>2017624.51</v>
      </c>
    </row>
    <row r="567" spans="2:34" ht="15">
      <c r="B567" s="4" t="s">
        <v>0</v>
      </c>
      <c r="C567" s="5">
        <v>43826</v>
      </c>
      <c r="D567" s="4" t="s">
        <v>1</v>
      </c>
      <c r="E567" s="4" t="s">
        <v>3213</v>
      </c>
      <c r="F567" s="4" t="s">
        <v>3</v>
      </c>
      <c r="G567" s="4" t="s">
        <v>4</v>
      </c>
      <c r="H567" s="4" t="s">
        <v>632</v>
      </c>
      <c r="I567" s="5">
        <v>43823</v>
      </c>
      <c r="J567" s="6">
        <v>0.5237731481481481</v>
      </c>
      <c r="K567" s="5">
        <v>43829</v>
      </c>
      <c r="L567" s="4" t="s">
        <v>2256</v>
      </c>
      <c r="M567" s="4"/>
      <c r="N567" s="4" t="s">
        <v>174</v>
      </c>
      <c r="O567" s="4" t="s">
        <v>175</v>
      </c>
      <c r="P567" s="4" t="s">
        <v>2863</v>
      </c>
      <c r="Q567" s="4" t="s">
        <v>4</v>
      </c>
      <c r="R567" s="4" t="s">
        <v>4</v>
      </c>
      <c r="S567" s="4" t="s">
        <v>4</v>
      </c>
      <c r="T567" s="4"/>
      <c r="U567" s="4"/>
      <c r="V567" s="4"/>
      <c r="W567" s="4" t="s">
        <v>1963</v>
      </c>
      <c r="X567" s="17">
        <v>43280</v>
      </c>
      <c r="Y567" s="17">
        <v>43280</v>
      </c>
      <c r="Z567" s="4" t="s">
        <v>3215</v>
      </c>
      <c r="AA567" s="4" t="s">
        <v>3216</v>
      </c>
      <c r="AB567" s="4" t="s">
        <v>3217</v>
      </c>
      <c r="AC567" s="4" t="s">
        <v>3218</v>
      </c>
      <c r="AD567" s="4" t="s">
        <v>17</v>
      </c>
      <c r="AE567" s="4" t="s">
        <v>18</v>
      </c>
      <c r="AF567" s="4" t="s">
        <v>19</v>
      </c>
      <c r="AG567" s="4" t="s">
        <v>19</v>
      </c>
      <c r="AH567" s="17">
        <v>40668.26699</v>
      </c>
    </row>
    <row r="568" spans="2:34" ht="15">
      <c r="B568" s="1" t="s">
        <v>20</v>
      </c>
      <c r="C568" s="2">
        <v>43826</v>
      </c>
      <c r="D568" s="1" t="s">
        <v>21</v>
      </c>
      <c r="E568" s="1" t="s">
        <v>3219</v>
      </c>
      <c r="F568" s="1" t="s">
        <v>3</v>
      </c>
      <c r="G568" s="1" t="s">
        <v>4</v>
      </c>
      <c r="H568" s="1" t="s">
        <v>632</v>
      </c>
      <c r="I568" s="2">
        <v>43823</v>
      </c>
      <c r="J568" s="3">
        <v>0.5237731481481481</v>
      </c>
      <c r="K568" s="2">
        <v>43829</v>
      </c>
      <c r="L568" s="1" t="s">
        <v>2256</v>
      </c>
      <c r="M568" s="1"/>
      <c r="N568" s="1" t="s">
        <v>174</v>
      </c>
      <c r="O568" s="1" t="s">
        <v>175</v>
      </c>
      <c r="P568" s="1" t="s">
        <v>2863</v>
      </c>
      <c r="Q568" s="1" t="s">
        <v>4</v>
      </c>
      <c r="R568" s="1" t="s">
        <v>4</v>
      </c>
      <c r="S568" s="1" t="s">
        <v>4</v>
      </c>
      <c r="T568" s="1"/>
      <c r="U568" s="1"/>
      <c r="V568" s="1"/>
      <c r="W568" s="1" t="s">
        <v>1963</v>
      </c>
      <c r="X568" s="16">
        <v>346720</v>
      </c>
      <c r="Y568" s="16">
        <v>346720</v>
      </c>
      <c r="Z568" s="1" t="s">
        <v>3215</v>
      </c>
      <c r="AA568" s="1" t="s">
        <v>3221</v>
      </c>
      <c r="AB568" s="1" t="s">
        <v>3222</v>
      </c>
      <c r="AC568" s="1" t="s">
        <v>3223</v>
      </c>
      <c r="AD568" s="1" t="s">
        <v>17</v>
      </c>
      <c r="AE568" s="1" t="s">
        <v>18</v>
      </c>
      <c r="AF568" s="1" t="s">
        <v>19</v>
      </c>
      <c r="AG568" s="1" t="s">
        <v>19</v>
      </c>
      <c r="AH568" s="16">
        <v>325790.179</v>
      </c>
    </row>
    <row r="569" spans="2:34" ht="15">
      <c r="B569" s="4" t="s">
        <v>20</v>
      </c>
      <c r="C569" s="5">
        <v>43826</v>
      </c>
      <c r="D569" s="4" t="s">
        <v>21</v>
      </c>
      <c r="E569" s="4" t="s">
        <v>3224</v>
      </c>
      <c r="F569" s="4" t="s">
        <v>3</v>
      </c>
      <c r="G569" s="4" t="s">
        <v>4</v>
      </c>
      <c r="H569" s="4" t="s">
        <v>632</v>
      </c>
      <c r="I569" s="5">
        <v>43823</v>
      </c>
      <c r="J569" s="6">
        <v>0.5207638888888889</v>
      </c>
      <c r="K569" s="5">
        <v>43829</v>
      </c>
      <c r="L569" s="4" t="s">
        <v>2256</v>
      </c>
      <c r="M569" s="4"/>
      <c r="N569" s="4" t="s">
        <v>977</v>
      </c>
      <c r="O569" s="4" t="s">
        <v>978</v>
      </c>
      <c r="P569" s="4" t="s">
        <v>2453</v>
      </c>
      <c r="Q569" s="4" t="s">
        <v>4</v>
      </c>
      <c r="R569" s="4" t="s">
        <v>4</v>
      </c>
      <c r="S569" s="4" t="s">
        <v>4</v>
      </c>
      <c r="T569" s="4"/>
      <c r="U569" s="4"/>
      <c r="V569" s="4"/>
      <c r="W569" s="4" t="s">
        <v>1963</v>
      </c>
      <c r="X569" s="17">
        <v>200000</v>
      </c>
      <c r="Y569" s="17">
        <v>200000</v>
      </c>
      <c r="Z569" s="4" t="s">
        <v>3225</v>
      </c>
      <c r="AA569" s="4" t="s">
        <v>3226</v>
      </c>
      <c r="AB569" s="4" t="s">
        <v>3227</v>
      </c>
      <c r="AC569" s="4" t="s">
        <v>3228</v>
      </c>
      <c r="AD569" s="4" t="s">
        <v>17</v>
      </c>
      <c r="AE569" s="4" t="s">
        <v>3229</v>
      </c>
      <c r="AF569" s="4" t="s">
        <v>19</v>
      </c>
      <c r="AG569" s="4" t="s">
        <v>19</v>
      </c>
      <c r="AH569" s="17">
        <v>583991.27</v>
      </c>
    </row>
    <row r="570" spans="2:34" ht="15">
      <c r="B570" s="1" t="s">
        <v>20</v>
      </c>
      <c r="C570" s="2">
        <v>43826</v>
      </c>
      <c r="D570" s="1" t="s">
        <v>21</v>
      </c>
      <c r="E570" s="1" t="s">
        <v>3230</v>
      </c>
      <c r="F570" s="1" t="s">
        <v>3</v>
      </c>
      <c r="G570" s="1" t="s">
        <v>4</v>
      </c>
      <c r="H570" s="1" t="s">
        <v>632</v>
      </c>
      <c r="I570" s="2">
        <v>43823</v>
      </c>
      <c r="J570" s="3">
        <v>0.5230555555555556</v>
      </c>
      <c r="K570" s="2">
        <v>43829</v>
      </c>
      <c r="L570" s="1" t="s">
        <v>2256</v>
      </c>
      <c r="M570" s="1"/>
      <c r="N570" s="1" t="s">
        <v>2790</v>
      </c>
      <c r="O570" s="1" t="s">
        <v>2791</v>
      </c>
      <c r="P570" s="1" t="s">
        <v>2792</v>
      </c>
      <c r="Q570" s="1" t="s">
        <v>4</v>
      </c>
      <c r="R570" s="1" t="s">
        <v>4</v>
      </c>
      <c r="S570" s="1" t="s">
        <v>4</v>
      </c>
      <c r="T570" s="1"/>
      <c r="U570" s="1"/>
      <c r="V570" s="1"/>
      <c r="W570" s="1" t="s">
        <v>1963</v>
      </c>
      <c r="X570" s="16">
        <v>25000</v>
      </c>
      <c r="Y570" s="16">
        <v>25000</v>
      </c>
      <c r="Z570" s="1" t="s">
        <v>2144</v>
      </c>
      <c r="AA570" s="1" t="s">
        <v>959</v>
      </c>
      <c r="AB570" s="1" t="s">
        <v>3150</v>
      </c>
      <c r="AC570" s="1" t="s">
        <v>3151</v>
      </c>
      <c r="AD570" s="1" t="s">
        <v>17</v>
      </c>
      <c r="AE570" s="1" t="s">
        <v>17</v>
      </c>
      <c r="AF570" s="1" t="s">
        <v>19</v>
      </c>
      <c r="AG570" s="1" t="s">
        <v>19</v>
      </c>
      <c r="AH570" s="16">
        <v>40080</v>
      </c>
    </row>
    <row r="571" spans="2:34" ht="15">
      <c r="B571" s="4" t="s">
        <v>20</v>
      </c>
      <c r="C571" s="5">
        <v>43826</v>
      </c>
      <c r="D571" s="4" t="s">
        <v>21</v>
      </c>
      <c r="E571" s="4" t="s">
        <v>3231</v>
      </c>
      <c r="F571" s="4" t="s">
        <v>3</v>
      </c>
      <c r="G571" s="4" t="s">
        <v>4</v>
      </c>
      <c r="H571" s="4" t="s">
        <v>632</v>
      </c>
      <c r="I571" s="5">
        <v>43823</v>
      </c>
      <c r="J571" s="6">
        <v>0.5174189814814815</v>
      </c>
      <c r="K571" s="5">
        <v>43829</v>
      </c>
      <c r="L571" s="4" t="s">
        <v>2256</v>
      </c>
      <c r="M571" s="4"/>
      <c r="N571" s="4" t="s">
        <v>214</v>
      </c>
      <c r="O571" s="4" t="s">
        <v>215</v>
      </c>
      <c r="P571" s="4" t="s">
        <v>2960</v>
      </c>
      <c r="Q571" s="4" t="s">
        <v>4</v>
      </c>
      <c r="R571" s="4" t="s">
        <v>4</v>
      </c>
      <c r="S571" s="4" t="s">
        <v>4</v>
      </c>
      <c r="T571" s="4"/>
      <c r="U571" s="4"/>
      <c r="V571" s="4"/>
      <c r="W571" s="4" t="s">
        <v>1963</v>
      </c>
      <c r="X571" s="17">
        <v>22500</v>
      </c>
      <c r="Y571" s="17">
        <v>22500</v>
      </c>
      <c r="Z571" s="4" t="s">
        <v>121</v>
      </c>
      <c r="AA571" s="4" t="s">
        <v>3233</v>
      </c>
      <c r="AB571" s="4" t="s">
        <v>3234</v>
      </c>
      <c r="AC571" s="4" t="s">
        <v>3235</v>
      </c>
      <c r="AD571" s="4" t="s">
        <v>17</v>
      </c>
      <c r="AE571" s="4" t="s">
        <v>3236</v>
      </c>
      <c r="AF571" s="4" t="s">
        <v>19</v>
      </c>
      <c r="AG571" s="4" t="s">
        <v>19</v>
      </c>
      <c r="AH571" s="17">
        <v>63442.63</v>
      </c>
    </row>
    <row r="572" spans="2:34" ht="15">
      <c r="B572" s="1" t="s">
        <v>20</v>
      </c>
      <c r="C572" s="2">
        <v>43826</v>
      </c>
      <c r="D572" s="1" t="s">
        <v>21</v>
      </c>
      <c r="E572" s="1" t="s">
        <v>3237</v>
      </c>
      <c r="F572" s="1" t="s">
        <v>3</v>
      </c>
      <c r="G572" s="1" t="s">
        <v>4</v>
      </c>
      <c r="H572" s="1" t="s">
        <v>632</v>
      </c>
      <c r="I572" s="2">
        <v>43823</v>
      </c>
      <c r="J572" s="3">
        <v>0.4941435185185185</v>
      </c>
      <c r="K572" s="2">
        <v>43829</v>
      </c>
      <c r="L572" s="1" t="s">
        <v>2256</v>
      </c>
      <c r="M572" s="1"/>
      <c r="N572" s="1" t="s">
        <v>214</v>
      </c>
      <c r="O572" s="1" t="s">
        <v>215</v>
      </c>
      <c r="P572" s="1" t="s">
        <v>2960</v>
      </c>
      <c r="Q572" s="1" t="s">
        <v>4</v>
      </c>
      <c r="R572" s="1" t="s">
        <v>4</v>
      </c>
      <c r="S572" s="1" t="s">
        <v>4</v>
      </c>
      <c r="T572" s="1"/>
      <c r="U572" s="1"/>
      <c r="V572" s="1"/>
      <c r="W572" s="1" t="s">
        <v>1963</v>
      </c>
      <c r="X572" s="16">
        <v>78000</v>
      </c>
      <c r="Y572" s="16">
        <v>78000</v>
      </c>
      <c r="Z572" s="1" t="s">
        <v>3239</v>
      </c>
      <c r="AA572" s="1" t="s">
        <v>3240</v>
      </c>
      <c r="AB572" s="1" t="s">
        <v>3241</v>
      </c>
      <c r="AC572" s="1" t="s">
        <v>3242</v>
      </c>
      <c r="AD572" s="1" t="s">
        <v>17</v>
      </c>
      <c r="AE572" s="1" t="s">
        <v>3243</v>
      </c>
      <c r="AF572" s="1" t="s">
        <v>19</v>
      </c>
      <c r="AG572" s="1" t="s">
        <v>19</v>
      </c>
      <c r="AH572" s="16">
        <v>219831.2762</v>
      </c>
    </row>
    <row r="573" spans="2:34" ht="15">
      <c r="B573" s="4" t="s">
        <v>20</v>
      </c>
      <c r="C573" s="5">
        <v>43826</v>
      </c>
      <c r="D573" s="4" t="s">
        <v>21</v>
      </c>
      <c r="E573" s="4" t="s">
        <v>3244</v>
      </c>
      <c r="F573" s="4" t="s">
        <v>3</v>
      </c>
      <c r="G573" s="4" t="s">
        <v>4</v>
      </c>
      <c r="H573" s="4" t="s">
        <v>632</v>
      </c>
      <c r="I573" s="5">
        <v>43823</v>
      </c>
      <c r="J573" s="6">
        <v>0.45902777777777776</v>
      </c>
      <c r="K573" s="5">
        <v>43829</v>
      </c>
      <c r="L573" s="4" t="s">
        <v>2256</v>
      </c>
      <c r="M573" s="4"/>
      <c r="N573" s="4" t="s">
        <v>2237</v>
      </c>
      <c r="O573" s="4" t="s">
        <v>2238</v>
      </c>
      <c r="P573" s="4" t="s">
        <v>3245</v>
      </c>
      <c r="Q573" s="4" t="s">
        <v>4</v>
      </c>
      <c r="R573" s="4" t="s">
        <v>4</v>
      </c>
      <c r="S573" s="4" t="s">
        <v>4</v>
      </c>
      <c r="T573" s="4"/>
      <c r="U573" s="4"/>
      <c r="V573" s="4"/>
      <c r="W573" s="4" t="s">
        <v>1963</v>
      </c>
      <c r="X573" s="17">
        <v>150000</v>
      </c>
      <c r="Y573" s="17">
        <v>150000</v>
      </c>
      <c r="Z573" s="4" t="s">
        <v>3246</v>
      </c>
      <c r="AA573" s="4" t="s">
        <v>1097</v>
      </c>
      <c r="AB573" s="4" t="s">
        <v>3247</v>
      </c>
      <c r="AC573" s="4" t="s">
        <v>3248</v>
      </c>
      <c r="AD573" s="4" t="s">
        <v>17</v>
      </c>
      <c r="AE573" s="4" t="s">
        <v>18</v>
      </c>
      <c r="AF573" s="4" t="s">
        <v>19</v>
      </c>
      <c r="AG573" s="4" t="s">
        <v>19</v>
      </c>
      <c r="AH573" s="17">
        <v>112726</v>
      </c>
    </row>
    <row r="574" spans="2:34" ht="15">
      <c r="B574" s="1" t="s">
        <v>20</v>
      </c>
      <c r="C574" s="2">
        <v>43830</v>
      </c>
      <c r="D574" s="1" t="s">
        <v>21</v>
      </c>
      <c r="E574" s="1" t="s">
        <v>3249</v>
      </c>
      <c r="F574" s="1" t="s">
        <v>3</v>
      </c>
      <c r="G574" s="1" t="s">
        <v>4</v>
      </c>
      <c r="H574" s="1" t="s">
        <v>119</v>
      </c>
      <c r="I574" s="2">
        <v>43829</v>
      </c>
      <c r="J574" s="3">
        <v>0.6296759259259259</v>
      </c>
      <c r="K574" s="2">
        <v>43832</v>
      </c>
      <c r="L574" s="1" t="s">
        <v>2256</v>
      </c>
      <c r="M574" s="1"/>
      <c r="N574" s="1" t="s">
        <v>214</v>
      </c>
      <c r="O574" s="1" t="s">
        <v>215</v>
      </c>
      <c r="P574" s="1" t="s">
        <v>2960</v>
      </c>
      <c r="Q574" s="1" t="s">
        <v>4</v>
      </c>
      <c r="R574" s="1" t="s">
        <v>4</v>
      </c>
      <c r="S574" s="1" t="s">
        <v>4</v>
      </c>
      <c r="T574" s="1"/>
      <c r="U574" s="1"/>
      <c r="V574" s="1"/>
      <c r="W574" s="1" t="s">
        <v>1963</v>
      </c>
      <c r="X574" s="16">
        <v>20000</v>
      </c>
      <c r="Y574" s="16">
        <v>20000</v>
      </c>
      <c r="Z574" s="1" t="s">
        <v>3250</v>
      </c>
      <c r="AA574" s="1" t="s">
        <v>3251</v>
      </c>
      <c r="AB574" s="1" t="s">
        <v>3252</v>
      </c>
      <c r="AC574" s="1" t="s">
        <v>3253</v>
      </c>
      <c r="AD574" s="1" t="s">
        <v>17</v>
      </c>
      <c r="AE574" s="1" t="s">
        <v>3254</v>
      </c>
      <c r="AF574" s="1" t="s">
        <v>19</v>
      </c>
      <c r="AG574" s="1" t="s">
        <v>19</v>
      </c>
      <c r="AH574" s="16">
        <v>56287.3</v>
      </c>
    </row>
    <row r="575" spans="2:34" ht="15">
      <c r="B575" s="4" t="s">
        <v>20</v>
      </c>
      <c r="C575" s="5">
        <v>43830</v>
      </c>
      <c r="D575" s="4" t="s">
        <v>21</v>
      </c>
      <c r="E575" s="4" t="s">
        <v>3255</v>
      </c>
      <c r="F575" s="4" t="s">
        <v>3</v>
      </c>
      <c r="G575" s="4" t="s">
        <v>4</v>
      </c>
      <c r="H575" s="4" t="s">
        <v>632</v>
      </c>
      <c r="I575" s="5">
        <v>43829</v>
      </c>
      <c r="J575" s="6">
        <v>0.48998842592592595</v>
      </c>
      <c r="K575" s="5">
        <v>43832</v>
      </c>
      <c r="L575" s="4" t="s">
        <v>2256</v>
      </c>
      <c r="M575" s="4"/>
      <c r="N575" s="4" t="s">
        <v>174</v>
      </c>
      <c r="O575" s="4" t="s">
        <v>175</v>
      </c>
      <c r="P575" s="4" t="s">
        <v>2863</v>
      </c>
      <c r="Q575" s="4" t="s">
        <v>4</v>
      </c>
      <c r="R575" s="4" t="s">
        <v>4</v>
      </c>
      <c r="S575" s="4" t="s">
        <v>4</v>
      </c>
      <c r="T575" s="4"/>
      <c r="U575" s="4"/>
      <c r="V575" s="4"/>
      <c r="W575" s="4" t="s">
        <v>1963</v>
      </c>
      <c r="X575" s="17">
        <v>44451</v>
      </c>
      <c r="Y575" s="17">
        <v>44451</v>
      </c>
      <c r="Z575" s="4" t="s">
        <v>3257</v>
      </c>
      <c r="AA575" s="4" t="s">
        <v>3258</v>
      </c>
      <c r="AB575" s="4" t="s">
        <v>3259</v>
      </c>
      <c r="AC575" s="4" t="s">
        <v>3260</v>
      </c>
      <c r="AD575" s="4" t="s">
        <v>17</v>
      </c>
      <c r="AE575" s="4" t="s">
        <v>18</v>
      </c>
      <c r="AF575" s="4" t="s">
        <v>19</v>
      </c>
      <c r="AG575" s="4" t="s">
        <v>19</v>
      </c>
      <c r="AH575" s="17">
        <v>43204.7</v>
      </c>
    </row>
    <row r="576" spans="2:34" ht="15">
      <c r="B576" s="1" t="s">
        <v>0</v>
      </c>
      <c r="C576" s="2">
        <v>43830</v>
      </c>
      <c r="D576" s="1" t="s">
        <v>1</v>
      </c>
      <c r="E576" s="1" t="s">
        <v>3261</v>
      </c>
      <c r="F576" s="1" t="s">
        <v>3</v>
      </c>
      <c r="G576" s="1" t="s">
        <v>4</v>
      </c>
      <c r="H576" s="1" t="s">
        <v>632</v>
      </c>
      <c r="I576" s="2">
        <v>43829</v>
      </c>
      <c r="J576" s="3">
        <v>0.48998842592592595</v>
      </c>
      <c r="K576" s="2">
        <v>43832</v>
      </c>
      <c r="L576" s="1" t="s">
        <v>2256</v>
      </c>
      <c r="M576" s="1"/>
      <c r="N576" s="1" t="s">
        <v>174</v>
      </c>
      <c r="O576" s="1" t="s">
        <v>175</v>
      </c>
      <c r="P576" s="1" t="s">
        <v>2863</v>
      </c>
      <c r="Q576" s="1" t="s">
        <v>4</v>
      </c>
      <c r="R576" s="1" t="s">
        <v>4</v>
      </c>
      <c r="S576" s="1" t="s">
        <v>4</v>
      </c>
      <c r="T576" s="1"/>
      <c r="U576" s="1"/>
      <c r="V576" s="1"/>
      <c r="W576" s="1" t="s">
        <v>1963</v>
      </c>
      <c r="X576" s="16">
        <v>5549</v>
      </c>
      <c r="Y576" s="16">
        <v>5549</v>
      </c>
      <c r="Z576" s="1" t="s">
        <v>3257</v>
      </c>
      <c r="AA576" s="1" t="s">
        <v>3263</v>
      </c>
      <c r="AB576" s="1" t="s">
        <v>3264</v>
      </c>
      <c r="AC576" s="1" t="s">
        <v>3265</v>
      </c>
      <c r="AD576" s="1" t="s">
        <v>17</v>
      </c>
      <c r="AE576" s="1" t="s">
        <v>17</v>
      </c>
      <c r="AF576" s="1" t="s">
        <v>19</v>
      </c>
      <c r="AG576" s="1" t="s">
        <v>19</v>
      </c>
      <c r="AH576" s="1" t="s">
        <v>3264</v>
      </c>
    </row>
    <row r="577" spans="2:34" ht="15">
      <c r="B577" s="4" t="s">
        <v>0</v>
      </c>
      <c r="C577" s="5">
        <v>43830</v>
      </c>
      <c r="D577" s="4" t="s">
        <v>1</v>
      </c>
      <c r="E577" s="4" t="s">
        <v>3266</v>
      </c>
      <c r="F577" s="4" t="s">
        <v>3</v>
      </c>
      <c r="G577" s="4" t="s">
        <v>4</v>
      </c>
      <c r="H577" s="4" t="s">
        <v>632</v>
      </c>
      <c r="I577" s="5">
        <v>43829</v>
      </c>
      <c r="J577" s="6">
        <v>0.6111458333333334</v>
      </c>
      <c r="K577" s="5">
        <v>43832</v>
      </c>
      <c r="L577" s="4" t="s">
        <v>2256</v>
      </c>
      <c r="M577" s="4"/>
      <c r="N577" s="4" t="s">
        <v>3205</v>
      </c>
      <c r="O577" s="4" t="s">
        <v>3206</v>
      </c>
      <c r="P577" s="4" t="s">
        <v>3207</v>
      </c>
      <c r="Q577" s="4" t="s">
        <v>4</v>
      </c>
      <c r="R577" s="4" t="s">
        <v>4</v>
      </c>
      <c r="S577" s="4" t="s">
        <v>4</v>
      </c>
      <c r="T577" s="4"/>
      <c r="U577" s="4"/>
      <c r="V577" s="4"/>
      <c r="W577" s="4" t="s">
        <v>2258</v>
      </c>
      <c r="X577" s="17">
        <v>1000000</v>
      </c>
      <c r="Y577" s="17">
        <v>1000000</v>
      </c>
      <c r="Z577" s="4" t="s">
        <v>3267</v>
      </c>
      <c r="AA577" s="4" t="s">
        <v>3268</v>
      </c>
      <c r="AB577" s="4" t="s">
        <v>3269</v>
      </c>
      <c r="AC577" s="4" t="s">
        <v>3270</v>
      </c>
      <c r="AD577" s="4" t="s">
        <v>17</v>
      </c>
      <c r="AE577" s="4" t="s">
        <v>18</v>
      </c>
      <c r="AF577" s="4" t="s">
        <v>19</v>
      </c>
      <c r="AG577" s="4" t="s">
        <v>19</v>
      </c>
      <c r="AH577" s="4" t="s">
        <v>3269</v>
      </c>
    </row>
    <row r="578" spans="2:34" ht="15">
      <c r="B578" s="11" t="s">
        <v>0</v>
      </c>
      <c r="C578" s="12">
        <v>43830</v>
      </c>
      <c r="D578" s="11" t="s">
        <v>1</v>
      </c>
      <c r="E578" s="11" t="s">
        <v>3271</v>
      </c>
      <c r="F578" s="11" t="s">
        <v>3</v>
      </c>
      <c r="G578" s="11" t="s">
        <v>4</v>
      </c>
      <c r="H578" s="11" t="s">
        <v>632</v>
      </c>
      <c r="I578" s="12">
        <v>43829</v>
      </c>
      <c r="J578" s="13">
        <v>0.6176967592592593</v>
      </c>
      <c r="K578" s="12">
        <v>43832</v>
      </c>
      <c r="L578" s="11" t="s">
        <v>2256</v>
      </c>
      <c r="M578" s="11"/>
      <c r="N578" s="11" t="s">
        <v>3205</v>
      </c>
      <c r="O578" s="11" t="s">
        <v>3206</v>
      </c>
      <c r="P578" s="11" t="s">
        <v>3207</v>
      </c>
      <c r="Q578" s="11" t="s">
        <v>4</v>
      </c>
      <c r="R578" s="11" t="s">
        <v>4</v>
      </c>
      <c r="S578" s="11" t="s">
        <v>4</v>
      </c>
      <c r="T578" s="11"/>
      <c r="U578" s="11"/>
      <c r="V578" s="11"/>
      <c r="W578" s="11" t="s">
        <v>1963</v>
      </c>
      <c r="X578" s="19">
        <v>500000</v>
      </c>
      <c r="Y578" s="19">
        <v>500000</v>
      </c>
      <c r="Z578" s="11" t="s">
        <v>3272</v>
      </c>
      <c r="AA578" s="11" t="s">
        <v>3273</v>
      </c>
      <c r="AB578" s="11" t="s">
        <v>3274</v>
      </c>
      <c r="AC578" s="11" t="s">
        <v>3275</v>
      </c>
      <c r="AD578" s="11" t="s">
        <v>17</v>
      </c>
      <c r="AE578" s="11" t="s">
        <v>3276</v>
      </c>
      <c r="AF578" s="11" t="s">
        <v>19</v>
      </c>
      <c r="AG578" s="11" t="s">
        <v>19</v>
      </c>
      <c r="AH578" s="11" t="s">
        <v>3274</v>
      </c>
    </row>
  </sheetData>
  <autoFilter ref="B2:AI57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B619-3FB5-49F8-B8AF-A9D792C1C091}">
  <dimension ref="A1:Q107"/>
  <sheetViews>
    <sheetView workbookViewId="0" topLeftCell="D1">
      <selection activeCell="K7" sqref="K7:K77"/>
    </sheetView>
  </sheetViews>
  <sheetFormatPr defaultColWidth="8.7109375" defaultRowHeight="15"/>
  <cols>
    <col min="1" max="1" width="0.85546875" style="22" customWidth="1"/>
    <col min="2" max="2" width="16.421875" style="22" customWidth="1"/>
    <col min="3" max="3" width="25.140625" style="22" customWidth="1"/>
    <col min="4" max="4" width="15.57421875" style="22" bestFit="1" customWidth="1"/>
    <col min="5" max="5" width="10.421875" style="32" bestFit="1" customWidth="1"/>
    <col min="6" max="6" width="10.421875" style="32" customWidth="1"/>
    <col min="7" max="7" width="15.28125" style="32" customWidth="1"/>
    <col min="8" max="8" width="12.7109375" style="32" customWidth="1"/>
    <col min="9" max="9" width="20.421875" style="27" customWidth="1"/>
    <col min="10" max="10" width="34.8515625" style="22" customWidth="1"/>
    <col min="11" max="11" width="15.7109375" style="28" customWidth="1"/>
    <col min="12" max="12" width="10.421875" style="29" bestFit="1" customWidth="1"/>
    <col min="13" max="13" width="13.7109375" style="30" bestFit="1" customWidth="1"/>
    <col min="14" max="14" width="10.140625" style="30" bestFit="1" customWidth="1"/>
    <col min="15" max="15" width="13.7109375" style="30" bestFit="1" customWidth="1"/>
    <col min="16" max="16" width="61.8515625" style="22" bestFit="1" customWidth="1"/>
    <col min="17" max="17" width="8.7109375" style="22" customWidth="1"/>
    <col min="18" max="16384" width="8.7109375" style="22" customWidth="1"/>
  </cols>
  <sheetData>
    <row r="1" spans="3:8" ht="15">
      <c r="C1" s="23" t="s">
        <v>3282</v>
      </c>
      <c r="D1" s="24"/>
      <c r="E1" s="25"/>
      <c r="F1" s="24"/>
      <c r="G1" s="24"/>
      <c r="H1" s="26"/>
    </row>
    <row r="2" spans="3:8" ht="15" customHeight="1">
      <c r="C2" s="31" t="s">
        <v>3283</v>
      </c>
      <c r="D2" s="32"/>
      <c r="E2" s="33"/>
      <c r="H2" s="34"/>
    </row>
    <row r="3" spans="3:8" ht="15" customHeight="1">
      <c r="C3" s="35" t="s">
        <v>48</v>
      </c>
      <c r="D3" s="32"/>
      <c r="E3" s="33"/>
      <c r="H3" s="34"/>
    </row>
    <row r="4" spans="3:8" ht="15" customHeight="1" thickBot="1">
      <c r="C4" s="36" t="s">
        <v>3284</v>
      </c>
      <c r="D4" s="37"/>
      <c r="E4" s="38"/>
      <c r="F4" s="37"/>
      <c r="G4" s="38"/>
      <c r="H4" s="39"/>
    </row>
    <row r="5" spans="1:16" s="47" customFormat="1" ht="29.4" thickBot="1">
      <c r="A5" s="40"/>
      <c r="B5" s="40" t="s">
        <v>3399</v>
      </c>
      <c r="C5" s="40" t="s">
        <v>3285</v>
      </c>
      <c r="D5" s="40" t="s">
        <v>3286</v>
      </c>
      <c r="E5" s="40" t="s">
        <v>3287</v>
      </c>
      <c r="F5" s="40" t="s">
        <v>3288</v>
      </c>
      <c r="G5" s="40" t="s">
        <v>3289</v>
      </c>
      <c r="H5" s="40" t="s">
        <v>3290</v>
      </c>
      <c r="I5" s="41" t="s">
        <v>3291</v>
      </c>
      <c r="J5" s="40" t="s">
        <v>3292</v>
      </c>
      <c r="K5" s="42" t="s">
        <v>3293</v>
      </c>
      <c r="L5" s="43" t="s">
        <v>71</v>
      </c>
      <c r="M5" s="44" t="s">
        <v>3294</v>
      </c>
      <c r="N5" s="44" t="s">
        <v>3295</v>
      </c>
      <c r="O5" s="45" t="s">
        <v>3296</v>
      </c>
      <c r="P5" s="46" t="s">
        <v>3297</v>
      </c>
    </row>
    <row r="6" spans="9:16" s="47" customFormat="1" ht="15" thickTop="1">
      <c r="I6" s="48"/>
      <c r="K6" s="49"/>
      <c r="L6" s="50"/>
      <c r="M6" s="51"/>
      <c r="N6" s="51"/>
      <c r="O6" s="52"/>
      <c r="P6" s="53"/>
    </row>
    <row r="7" spans="2:16" ht="15">
      <c r="B7" s="22" t="s">
        <v>3397</v>
      </c>
      <c r="C7" s="54" t="s">
        <v>3298</v>
      </c>
      <c r="D7" s="61" t="s">
        <v>3299</v>
      </c>
      <c r="E7" s="62" t="s">
        <v>3305</v>
      </c>
      <c r="F7" s="63">
        <v>43529</v>
      </c>
      <c r="G7" s="63">
        <v>43535</v>
      </c>
      <c r="H7" s="62"/>
      <c r="I7" s="127" t="s">
        <v>3350</v>
      </c>
      <c r="J7" s="22" t="s">
        <v>3306</v>
      </c>
      <c r="K7" s="122">
        <v>833333</v>
      </c>
      <c r="L7" s="66">
        <v>0.3</v>
      </c>
      <c r="M7" s="67">
        <f aca="true" t="shared" si="0" ref="M7:M13">-K7*L7</f>
        <v>-249999.9</v>
      </c>
      <c r="N7" s="67"/>
      <c r="O7" s="67">
        <f aca="true" t="shared" si="1" ref="O7:O13">M7+N7</f>
        <v>-249999.9</v>
      </c>
      <c r="P7" s="68"/>
    </row>
    <row r="8" spans="2:16" ht="15">
      <c r="B8" s="22" t="s">
        <v>3397</v>
      </c>
      <c r="C8" s="54" t="s">
        <v>3298</v>
      </c>
      <c r="D8" s="61" t="s">
        <v>3299</v>
      </c>
      <c r="E8" s="32" t="s">
        <v>3311</v>
      </c>
      <c r="F8" s="70">
        <v>43805</v>
      </c>
      <c r="G8" s="70">
        <v>43803</v>
      </c>
      <c r="H8" s="27" t="s">
        <v>3312</v>
      </c>
      <c r="I8" s="27" t="s">
        <v>3312</v>
      </c>
      <c r="J8" s="22" t="s">
        <v>3313</v>
      </c>
      <c r="K8" s="123">
        <v>200000</v>
      </c>
      <c r="L8" s="29">
        <v>0.36</v>
      </c>
      <c r="M8" s="30">
        <f t="shared" si="0"/>
        <v>-72000</v>
      </c>
      <c r="N8" s="30">
        <f>-SUM(42.24,144,5.91,1)</f>
        <v>-193.15</v>
      </c>
      <c r="O8" s="67">
        <f t="shared" si="1"/>
        <v>-72193.15</v>
      </c>
      <c r="P8" s="71"/>
    </row>
    <row r="9" spans="2:16" ht="15">
      <c r="B9" s="22" t="s">
        <v>3397</v>
      </c>
      <c r="C9" s="54" t="s">
        <v>3298</v>
      </c>
      <c r="D9" s="61" t="s">
        <v>3299</v>
      </c>
      <c r="E9" s="32" t="s">
        <v>3311</v>
      </c>
      <c r="F9" s="70">
        <v>43808</v>
      </c>
      <c r="G9" s="70">
        <v>43804</v>
      </c>
      <c r="H9" s="27" t="s">
        <v>3312</v>
      </c>
      <c r="I9" s="27" t="s">
        <v>3312</v>
      </c>
      <c r="J9" s="22" t="s">
        <v>3313</v>
      </c>
      <c r="K9" s="123">
        <v>150000</v>
      </c>
      <c r="L9" s="29">
        <v>0.36</v>
      </c>
      <c r="M9" s="30">
        <f t="shared" si="0"/>
        <v>-54000</v>
      </c>
      <c r="N9" s="30">
        <f>-SUM(42.24,108,5.91,1)</f>
        <v>-157.15</v>
      </c>
      <c r="O9" s="67">
        <f t="shared" si="1"/>
        <v>-54157.15</v>
      </c>
      <c r="P9" s="68"/>
    </row>
    <row r="10" spans="2:16" ht="15">
      <c r="B10" s="22" t="s">
        <v>3397</v>
      </c>
      <c r="C10" s="54" t="s">
        <v>3298</v>
      </c>
      <c r="D10" s="22" t="s">
        <v>3299</v>
      </c>
      <c r="E10" s="32" t="s">
        <v>3311</v>
      </c>
      <c r="F10" s="70">
        <v>43815</v>
      </c>
      <c r="G10" s="70">
        <v>43811</v>
      </c>
      <c r="H10" s="32" t="s">
        <v>3301</v>
      </c>
      <c r="I10" s="27" t="s">
        <v>3302</v>
      </c>
      <c r="J10" s="22" t="s">
        <v>3303</v>
      </c>
      <c r="K10" s="123">
        <v>353000</v>
      </c>
      <c r="L10" s="29">
        <v>0.36</v>
      </c>
      <c r="M10" s="30">
        <f t="shared" si="0"/>
        <v>-127080</v>
      </c>
      <c r="N10" s="30">
        <f>-SUM(41.67,254.16,5.83,1)</f>
        <v>-302.65999999999997</v>
      </c>
      <c r="O10" s="67">
        <f t="shared" si="1"/>
        <v>-127382.66</v>
      </c>
      <c r="P10" s="72"/>
    </row>
    <row r="11" spans="2:16" ht="15">
      <c r="B11" s="22" t="s">
        <v>3397</v>
      </c>
      <c r="C11" s="54" t="s">
        <v>3298</v>
      </c>
      <c r="D11" s="22" t="s">
        <v>3299</v>
      </c>
      <c r="E11" s="32" t="s">
        <v>3311</v>
      </c>
      <c r="F11" s="70">
        <v>43823</v>
      </c>
      <c r="G11" s="70">
        <v>43819</v>
      </c>
      <c r="H11" s="32" t="s">
        <v>3301</v>
      </c>
      <c r="I11" s="27" t="s">
        <v>3302</v>
      </c>
      <c r="J11" s="22" t="s">
        <v>3303</v>
      </c>
      <c r="K11" s="123">
        <v>25000</v>
      </c>
      <c r="L11" s="29">
        <v>0.36</v>
      </c>
      <c r="M11" s="30">
        <f t="shared" si="0"/>
        <v>-9000</v>
      </c>
      <c r="N11" s="30">
        <f>-SUM(42.73+18+5.98)</f>
        <v>-66.71</v>
      </c>
      <c r="O11" s="67">
        <f t="shared" si="1"/>
        <v>-9066.71</v>
      </c>
      <c r="P11" s="72"/>
    </row>
    <row r="12" spans="2:16" ht="15">
      <c r="B12" s="22" t="s">
        <v>3397</v>
      </c>
      <c r="C12" s="54" t="s">
        <v>3298</v>
      </c>
      <c r="D12" s="22" t="s">
        <v>3299</v>
      </c>
      <c r="E12" s="32" t="s">
        <v>3311</v>
      </c>
      <c r="F12" s="70">
        <v>43826</v>
      </c>
      <c r="G12" s="70">
        <v>43822</v>
      </c>
      <c r="H12" s="32" t="s">
        <v>3301</v>
      </c>
      <c r="I12" s="27" t="s">
        <v>3302</v>
      </c>
      <c r="J12" s="22" t="s">
        <v>3303</v>
      </c>
      <c r="K12" s="123">
        <v>100000</v>
      </c>
      <c r="L12" s="29">
        <v>0.35</v>
      </c>
      <c r="M12" s="30">
        <f t="shared" si="0"/>
        <v>-35000</v>
      </c>
      <c r="N12" s="30">
        <f>-SUM(42.73+70+5.98+1)</f>
        <v>-119.71</v>
      </c>
      <c r="O12" s="67">
        <f t="shared" si="1"/>
        <v>-35119.71</v>
      </c>
      <c r="P12" s="72"/>
    </row>
    <row r="13" spans="2:16" ht="15">
      <c r="B13" s="22" t="s">
        <v>3397</v>
      </c>
      <c r="C13" s="54" t="s">
        <v>3298</v>
      </c>
      <c r="D13" s="22" t="s">
        <v>3299</v>
      </c>
      <c r="E13" s="32" t="s">
        <v>3311</v>
      </c>
      <c r="F13" s="70">
        <v>43832</v>
      </c>
      <c r="G13" s="70">
        <v>43829</v>
      </c>
      <c r="H13" s="32" t="s">
        <v>3301</v>
      </c>
      <c r="I13" s="27" t="s">
        <v>3302</v>
      </c>
      <c r="J13" s="22" t="s">
        <v>3303</v>
      </c>
      <c r="K13" s="123">
        <v>100000</v>
      </c>
      <c r="L13" s="29">
        <v>0.35</v>
      </c>
      <c r="M13" s="30">
        <f t="shared" si="0"/>
        <v>-35000</v>
      </c>
      <c r="N13" s="30">
        <f>-SUM(42.42+70+5.94+1)</f>
        <v>-119.36</v>
      </c>
      <c r="O13" s="67">
        <f t="shared" si="1"/>
        <v>-35119.36</v>
      </c>
      <c r="P13" s="72"/>
    </row>
    <row r="14" spans="2:16" ht="25.2">
      <c r="B14" s="22" t="s">
        <v>3397</v>
      </c>
      <c r="C14" s="54" t="s">
        <v>3315</v>
      </c>
      <c r="D14" s="74" t="s">
        <v>3316</v>
      </c>
      <c r="E14" s="55" t="s">
        <v>3305</v>
      </c>
      <c r="F14" s="70">
        <v>43718</v>
      </c>
      <c r="G14" s="70">
        <v>43714</v>
      </c>
      <c r="H14" s="32" t="s">
        <v>3317</v>
      </c>
      <c r="I14" s="27" t="s">
        <v>3318</v>
      </c>
      <c r="J14" s="22" t="s">
        <v>3319</v>
      </c>
      <c r="K14" s="123">
        <v>45500</v>
      </c>
      <c r="L14" s="75">
        <v>1.922777</v>
      </c>
      <c r="M14" s="30">
        <f aca="true" t="shared" si="2" ref="M14:M26">-K14*L14</f>
        <v>-87486.3535</v>
      </c>
      <c r="N14" s="76">
        <f>-(SUM(174.97,1))</f>
        <v>-175.97</v>
      </c>
      <c r="O14" s="30">
        <f aca="true" t="shared" si="3" ref="O14:O26">M14+N14</f>
        <v>-87662.3235</v>
      </c>
      <c r="P14" s="68"/>
    </row>
    <row r="15" spans="2:16" ht="25.2">
      <c r="B15" s="22" t="s">
        <v>3397</v>
      </c>
      <c r="C15" s="54" t="s">
        <v>3315</v>
      </c>
      <c r="D15" s="74" t="s">
        <v>3316</v>
      </c>
      <c r="E15" s="55" t="s">
        <v>3305</v>
      </c>
      <c r="F15" s="70">
        <v>43725</v>
      </c>
      <c r="G15" s="70">
        <v>43721</v>
      </c>
      <c r="H15" s="32" t="s">
        <v>3317</v>
      </c>
      <c r="I15" s="27" t="s">
        <v>3318</v>
      </c>
      <c r="J15" s="22" t="s">
        <v>3319</v>
      </c>
      <c r="K15" s="123">
        <v>35000</v>
      </c>
      <c r="L15" s="22">
        <v>1.925039</v>
      </c>
      <c r="M15" s="30">
        <f t="shared" si="2"/>
        <v>-67376.365</v>
      </c>
      <c r="N15" s="76">
        <f>-(SUM(44.35,134.75,6.21,1))</f>
        <v>-186.31</v>
      </c>
      <c r="O15" s="30">
        <f t="shared" si="3"/>
        <v>-67562.675</v>
      </c>
      <c r="P15" s="68"/>
    </row>
    <row r="16" spans="2:16" ht="25.2">
      <c r="B16" s="22" t="s">
        <v>3397</v>
      </c>
      <c r="C16" s="54" t="s">
        <v>3321</v>
      </c>
      <c r="D16" s="74" t="s">
        <v>3316</v>
      </c>
      <c r="E16" s="32" t="s">
        <v>3305</v>
      </c>
      <c r="F16" s="70">
        <v>43494</v>
      </c>
      <c r="G16" s="70">
        <v>43490</v>
      </c>
      <c r="H16" s="32" t="s">
        <v>3317</v>
      </c>
      <c r="I16" s="27" t="s">
        <v>3318</v>
      </c>
      <c r="J16" s="22" t="s">
        <v>3319</v>
      </c>
      <c r="K16" s="123">
        <v>15000</v>
      </c>
      <c r="L16" s="29">
        <v>2.125</v>
      </c>
      <c r="M16" s="30">
        <f t="shared" si="2"/>
        <v>-31875</v>
      </c>
      <c r="N16" s="30">
        <f>-SUM(63.75+1)</f>
        <v>-64.75</v>
      </c>
      <c r="O16" s="30">
        <f t="shared" si="3"/>
        <v>-31939.75</v>
      </c>
      <c r="P16" s="68"/>
    </row>
    <row r="17" spans="2:16" ht="15">
      <c r="B17" s="22" t="s">
        <v>3397</v>
      </c>
      <c r="C17" s="54" t="s">
        <v>3322</v>
      </c>
      <c r="D17" s="77" t="s">
        <v>3316</v>
      </c>
      <c r="E17" s="32" t="s">
        <v>3305</v>
      </c>
      <c r="F17" s="70">
        <v>43497</v>
      </c>
      <c r="G17" s="70">
        <v>43501</v>
      </c>
      <c r="H17" s="32" t="s">
        <v>3317</v>
      </c>
      <c r="I17" s="27" t="s">
        <v>3318</v>
      </c>
      <c r="J17" s="22" t="s">
        <v>3319</v>
      </c>
      <c r="K17" s="123">
        <v>10000</v>
      </c>
      <c r="L17" s="29">
        <v>2.15</v>
      </c>
      <c r="M17" s="30">
        <f t="shared" si="2"/>
        <v>-21500</v>
      </c>
      <c r="N17" s="30">
        <f>-SUM(43+1)</f>
        <v>-44</v>
      </c>
      <c r="O17" s="30">
        <f t="shared" si="3"/>
        <v>-21544</v>
      </c>
      <c r="P17" s="68"/>
    </row>
    <row r="18" spans="2:16" ht="15">
      <c r="B18" s="22" t="s">
        <v>3397</v>
      </c>
      <c r="C18" s="54" t="s">
        <v>3322</v>
      </c>
      <c r="D18" s="77" t="s">
        <v>3316</v>
      </c>
      <c r="E18" s="32" t="s">
        <v>3305</v>
      </c>
      <c r="F18" s="70">
        <v>43504</v>
      </c>
      <c r="G18" s="70">
        <v>43508</v>
      </c>
      <c r="H18" s="32" t="s">
        <v>3317</v>
      </c>
      <c r="I18" s="27" t="s">
        <v>3318</v>
      </c>
      <c r="J18" s="22" t="s">
        <v>3319</v>
      </c>
      <c r="K18" s="123">
        <v>15500</v>
      </c>
      <c r="L18" s="29">
        <v>2.147906</v>
      </c>
      <c r="M18" s="30">
        <f t="shared" si="2"/>
        <v>-33292.543</v>
      </c>
      <c r="N18" s="30">
        <f>-SUM(66.59+1)</f>
        <v>-67.59</v>
      </c>
      <c r="O18" s="30">
        <f t="shared" si="3"/>
        <v>-33360.132999999994</v>
      </c>
      <c r="P18" s="68"/>
    </row>
    <row r="19" spans="2:16" ht="15">
      <c r="B19" s="22" t="s">
        <v>3397</v>
      </c>
      <c r="C19" s="54" t="s">
        <v>3322</v>
      </c>
      <c r="D19" s="78" t="s">
        <v>3316</v>
      </c>
      <c r="E19" s="32" t="s">
        <v>3305</v>
      </c>
      <c r="F19" s="70">
        <v>43518</v>
      </c>
      <c r="G19" s="70">
        <v>43522</v>
      </c>
      <c r="H19" s="32" t="s">
        <v>3317</v>
      </c>
      <c r="I19" s="27" t="s">
        <v>3318</v>
      </c>
      <c r="J19" s="22" t="s">
        <v>3319</v>
      </c>
      <c r="K19" s="124">
        <v>15000</v>
      </c>
      <c r="L19" s="22">
        <v>2.225</v>
      </c>
      <c r="M19" s="30">
        <f t="shared" si="2"/>
        <v>-33375</v>
      </c>
      <c r="N19" s="30">
        <f>-SUM(66.75+1)</f>
        <v>-67.75</v>
      </c>
      <c r="O19" s="30">
        <f t="shared" si="3"/>
        <v>-33442.75</v>
      </c>
      <c r="P19" s="68"/>
    </row>
    <row r="20" spans="2:16" ht="15">
      <c r="B20" s="22" t="s">
        <v>3397</v>
      </c>
      <c r="C20" s="54" t="s">
        <v>3322</v>
      </c>
      <c r="D20" s="78" t="s">
        <v>3316</v>
      </c>
      <c r="E20" s="32" t="s">
        <v>3305</v>
      </c>
      <c r="F20" s="70">
        <v>43529</v>
      </c>
      <c r="G20" s="70">
        <v>43525</v>
      </c>
      <c r="H20" s="32" t="s">
        <v>3317</v>
      </c>
      <c r="I20" s="27" t="s">
        <v>3318</v>
      </c>
      <c r="J20" s="22" t="s">
        <v>3319</v>
      </c>
      <c r="K20" s="124">
        <v>9500</v>
      </c>
      <c r="L20" s="22">
        <v>2.196079</v>
      </c>
      <c r="M20" s="30">
        <f t="shared" si="2"/>
        <v>-20862.750500000002</v>
      </c>
      <c r="N20" s="30">
        <f>-SUM(41.73+1)</f>
        <v>-42.73</v>
      </c>
      <c r="O20" s="30">
        <f t="shared" si="3"/>
        <v>-20905.4805</v>
      </c>
      <c r="P20" s="68"/>
    </row>
    <row r="21" spans="2:16" ht="15">
      <c r="B21" s="22" t="s">
        <v>3397</v>
      </c>
      <c r="C21" s="54" t="s">
        <v>3322</v>
      </c>
      <c r="D21" s="78" t="s">
        <v>3316</v>
      </c>
      <c r="E21" s="32" t="s">
        <v>3305</v>
      </c>
      <c r="F21" s="70">
        <v>43543</v>
      </c>
      <c r="G21" s="70">
        <v>43539</v>
      </c>
      <c r="H21" s="32" t="s">
        <v>3317</v>
      </c>
      <c r="I21" s="27" t="s">
        <v>3318</v>
      </c>
      <c r="J21" s="22" t="s">
        <v>3319</v>
      </c>
      <c r="K21" s="124">
        <v>85000</v>
      </c>
      <c r="L21" s="22">
        <v>1.8</v>
      </c>
      <c r="M21" s="30">
        <f t="shared" si="2"/>
        <v>-153000</v>
      </c>
      <c r="N21" s="30">
        <f>-SUM(306+1)</f>
        <v>-307</v>
      </c>
      <c r="O21" s="30">
        <f t="shared" si="3"/>
        <v>-153307</v>
      </c>
      <c r="P21" s="68"/>
    </row>
    <row r="22" spans="2:16" ht="15">
      <c r="B22" s="22" t="s">
        <v>3397</v>
      </c>
      <c r="C22" s="54" t="s">
        <v>3322</v>
      </c>
      <c r="D22" s="78" t="s">
        <v>3316</v>
      </c>
      <c r="E22" s="32" t="s">
        <v>3305</v>
      </c>
      <c r="F22" s="70">
        <v>43550</v>
      </c>
      <c r="G22" s="70">
        <v>43546</v>
      </c>
      <c r="H22" s="32" t="s">
        <v>3323</v>
      </c>
      <c r="I22" s="27" t="s">
        <v>3318</v>
      </c>
      <c r="J22" s="22" t="s">
        <v>3319</v>
      </c>
      <c r="K22" s="124">
        <v>23273</v>
      </c>
      <c r="L22" s="22">
        <v>1.817582</v>
      </c>
      <c r="M22" s="30">
        <f t="shared" si="2"/>
        <v>-42300.585886</v>
      </c>
      <c r="N22" s="30">
        <f>-SUM(84.6+1)</f>
        <v>-85.6</v>
      </c>
      <c r="O22" s="30">
        <f t="shared" si="3"/>
        <v>-42386.185886</v>
      </c>
      <c r="P22" s="68"/>
    </row>
    <row r="23" spans="2:16" ht="15">
      <c r="B23" s="22" t="s">
        <v>3397</v>
      </c>
      <c r="C23" s="54" t="s">
        <v>3322</v>
      </c>
      <c r="D23" s="78" t="s">
        <v>3316</v>
      </c>
      <c r="E23" s="32" t="s">
        <v>3305</v>
      </c>
      <c r="F23" s="70">
        <v>43557</v>
      </c>
      <c r="G23" s="70">
        <v>43553</v>
      </c>
      <c r="H23" s="32" t="s">
        <v>3323</v>
      </c>
      <c r="I23" s="27" t="s">
        <v>3318</v>
      </c>
      <c r="J23" s="22" t="s">
        <v>3319</v>
      </c>
      <c r="K23" s="124">
        <v>40000</v>
      </c>
      <c r="L23" s="22">
        <v>1.805</v>
      </c>
      <c r="M23" s="30">
        <f t="shared" si="2"/>
        <v>-72200</v>
      </c>
      <c r="N23" s="30">
        <f>-SUM(144.4+1)</f>
        <v>-145.4</v>
      </c>
      <c r="O23" s="30">
        <f t="shared" si="3"/>
        <v>-72345.4</v>
      </c>
      <c r="P23" s="68"/>
    </row>
    <row r="24" spans="2:16" ht="15">
      <c r="B24" s="22" t="s">
        <v>3397</v>
      </c>
      <c r="C24" s="54" t="s">
        <v>3322</v>
      </c>
      <c r="D24" s="78" t="s">
        <v>3316</v>
      </c>
      <c r="E24" s="32" t="s">
        <v>3305</v>
      </c>
      <c r="F24" s="70">
        <v>43564</v>
      </c>
      <c r="G24" s="70">
        <v>43560</v>
      </c>
      <c r="H24" s="32" t="s">
        <v>3323</v>
      </c>
      <c r="I24" s="27" t="s">
        <v>3318</v>
      </c>
      <c r="J24" s="22" t="s">
        <v>3319</v>
      </c>
      <c r="K24" s="124">
        <v>14500</v>
      </c>
      <c r="L24" s="22">
        <v>1.844483</v>
      </c>
      <c r="M24" s="30">
        <f t="shared" si="2"/>
        <v>-26745.003500000003</v>
      </c>
      <c r="N24" s="30">
        <f>-SUM(53.49+1)</f>
        <v>-54.49</v>
      </c>
      <c r="O24" s="30">
        <f t="shared" si="3"/>
        <v>-26799.493500000004</v>
      </c>
      <c r="P24" s="68"/>
    </row>
    <row r="25" spans="2:16" ht="15">
      <c r="B25" s="22" t="s">
        <v>3397</v>
      </c>
      <c r="C25" s="54" t="s">
        <v>3322</v>
      </c>
      <c r="D25" s="78" t="s">
        <v>3316</v>
      </c>
      <c r="E25" s="32" t="s">
        <v>3305</v>
      </c>
      <c r="F25" s="70">
        <v>43696</v>
      </c>
      <c r="G25" s="70">
        <v>43692</v>
      </c>
      <c r="H25" s="32" t="s">
        <v>3323</v>
      </c>
      <c r="I25" s="27" t="s">
        <v>3318</v>
      </c>
      <c r="J25" s="22" t="s">
        <v>3319</v>
      </c>
      <c r="K25" s="124">
        <v>175000</v>
      </c>
      <c r="L25" s="22">
        <v>2</v>
      </c>
      <c r="M25" s="30">
        <f t="shared" si="2"/>
        <v>-350000</v>
      </c>
      <c r="N25" s="30">
        <f>-SUM(700+1)</f>
        <v>-701</v>
      </c>
      <c r="O25" s="30">
        <f t="shared" si="3"/>
        <v>-350701</v>
      </c>
      <c r="P25" s="68"/>
    </row>
    <row r="26" spans="2:16" ht="25.2">
      <c r="B26" s="22" t="s">
        <v>3397</v>
      </c>
      <c r="C26" s="54" t="s">
        <v>3322</v>
      </c>
      <c r="D26" s="74" t="s">
        <v>3316</v>
      </c>
      <c r="E26" s="32" t="s">
        <v>3305</v>
      </c>
      <c r="F26" s="70">
        <v>43705</v>
      </c>
      <c r="G26" s="70">
        <v>43700</v>
      </c>
      <c r="H26" s="32" t="s">
        <v>3317</v>
      </c>
      <c r="I26" s="27" t="s">
        <v>3318</v>
      </c>
      <c r="J26" s="22" t="s">
        <v>3319</v>
      </c>
      <c r="K26" s="123">
        <v>9500</v>
      </c>
      <c r="L26" s="29">
        <v>1.92661</v>
      </c>
      <c r="M26" s="30">
        <f t="shared" si="2"/>
        <v>-18302.795</v>
      </c>
      <c r="N26" s="30">
        <f>-SUM(36.61,1)</f>
        <v>-37.61</v>
      </c>
      <c r="O26" s="30">
        <f t="shared" si="3"/>
        <v>-18340.405</v>
      </c>
      <c r="P26" s="68"/>
    </row>
    <row r="27" spans="2:16" ht="15">
      <c r="B27" s="22" t="s">
        <v>3397</v>
      </c>
      <c r="C27" s="54" t="s">
        <v>3324</v>
      </c>
      <c r="D27" s="80" t="s">
        <v>3325</v>
      </c>
      <c r="E27" s="32" t="s">
        <v>3305</v>
      </c>
      <c r="F27" s="70">
        <v>43525</v>
      </c>
      <c r="G27" s="70">
        <v>43529</v>
      </c>
      <c r="H27" s="32" t="s">
        <v>3323</v>
      </c>
      <c r="I27" s="27" t="s">
        <v>3326</v>
      </c>
      <c r="J27" s="22" t="s">
        <v>3327</v>
      </c>
      <c r="K27" s="123">
        <v>1298728</v>
      </c>
      <c r="L27" s="29">
        <v>0.049299</v>
      </c>
      <c r="M27" s="30">
        <f aca="true" t="shared" si="4" ref="M27:M33">-K27*L27</f>
        <v>-64025.991672000004</v>
      </c>
      <c r="N27" s="30">
        <f>-SUM(128.05+1)</f>
        <v>-129.05</v>
      </c>
      <c r="O27" s="30">
        <f aca="true" t="shared" si="5" ref="O27:O33">M27+N27</f>
        <v>-64155.04167200001</v>
      </c>
      <c r="P27" s="68"/>
    </row>
    <row r="28" spans="2:16" ht="15">
      <c r="B28" s="22" t="s">
        <v>3397</v>
      </c>
      <c r="C28" s="54" t="s">
        <v>3324</v>
      </c>
      <c r="D28" s="80" t="s">
        <v>3325</v>
      </c>
      <c r="E28" s="32" t="s">
        <v>3305</v>
      </c>
      <c r="F28" s="70">
        <v>43532</v>
      </c>
      <c r="G28" s="70">
        <v>43530</v>
      </c>
      <c r="H28" s="32" t="s">
        <v>3323</v>
      </c>
      <c r="I28" s="27" t="s">
        <v>3326</v>
      </c>
      <c r="J28" s="22" t="s">
        <v>3327</v>
      </c>
      <c r="K28" s="123">
        <v>701272</v>
      </c>
      <c r="L28" s="29">
        <v>0.05</v>
      </c>
      <c r="M28" s="30">
        <f t="shared" si="4"/>
        <v>-35063.6</v>
      </c>
      <c r="N28" s="30">
        <f>-SUM(70.13+1)</f>
        <v>-71.13</v>
      </c>
      <c r="O28" s="30">
        <f t="shared" si="5"/>
        <v>-35134.729999999996</v>
      </c>
      <c r="P28" s="68"/>
    </row>
    <row r="29" spans="2:16" ht="25.2">
      <c r="B29" s="22" t="s">
        <v>3397</v>
      </c>
      <c r="C29" s="54" t="s">
        <v>3324</v>
      </c>
      <c r="D29" s="74" t="s">
        <v>3325</v>
      </c>
      <c r="E29" s="32" t="s">
        <v>3305</v>
      </c>
      <c r="F29" s="70">
        <v>43586</v>
      </c>
      <c r="G29" s="70">
        <v>43584</v>
      </c>
      <c r="H29" s="32" t="s">
        <v>3301</v>
      </c>
      <c r="I29" s="27" t="s">
        <v>3302</v>
      </c>
      <c r="J29" s="22" t="s">
        <v>3303</v>
      </c>
      <c r="K29" s="123">
        <v>5000000</v>
      </c>
      <c r="L29" s="29">
        <v>0.053</v>
      </c>
      <c r="M29" s="30">
        <f t="shared" si="4"/>
        <v>-265000</v>
      </c>
      <c r="N29" s="30">
        <f>-SUM(530+1)</f>
        <v>-531</v>
      </c>
      <c r="O29" s="30">
        <f t="shared" si="5"/>
        <v>-265531</v>
      </c>
      <c r="P29" s="68"/>
    </row>
    <row r="30" spans="2:16" ht="25.2">
      <c r="B30" s="22" t="s">
        <v>3397</v>
      </c>
      <c r="C30" s="54" t="s">
        <v>3324</v>
      </c>
      <c r="D30" s="74" t="s">
        <v>3325</v>
      </c>
      <c r="E30" s="32" t="s">
        <v>3305</v>
      </c>
      <c r="F30" s="70">
        <v>43661</v>
      </c>
      <c r="G30" s="70">
        <v>43658</v>
      </c>
      <c r="H30" s="32" t="s">
        <v>3301</v>
      </c>
      <c r="I30" s="27" t="s">
        <v>3302</v>
      </c>
      <c r="J30" s="22" t="s">
        <v>3303</v>
      </c>
      <c r="K30" s="123">
        <v>675000</v>
      </c>
      <c r="L30" s="29">
        <v>0.046</v>
      </c>
      <c r="M30" s="30">
        <f t="shared" si="4"/>
        <v>-31050</v>
      </c>
      <c r="N30" s="30">
        <f>-SUM(62.1+1)</f>
        <v>-63.1</v>
      </c>
      <c r="O30" s="30">
        <f t="shared" si="5"/>
        <v>-31113.1</v>
      </c>
      <c r="P30" s="68"/>
    </row>
    <row r="31" spans="2:16" ht="25.2">
      <c r="B31" s="22" t="s">
        <v>3397</v>
      </c>
      <c r="C31" s="54" t="s">
        <v>3324</v>
      </c>
      <c r="D31" s="74" t="s">
        <v>3325</v>
      </c>
      <c r="E31" s="32" t="s">
        <v>3305</v>
      </c>
      <c r="F31" s="70">
        <v>43669</v>
      </c>
      <c r="G31" s="70">
        <v>43665</v>
      </c>
      <c r="H31" s="32" t="s">
        <v>3301</v>
      </c>
      <c r="I31" s="27" t="s">
        <v>3302</v>
      </c>
      <c r="J31" s="22" t="s">
        <v>3303</v>
      </c>
      <c r="K31" s="123">
        <v>250000</v>
      </c>
      <c r="L31" s="29">
        <v>0.0455</v>
      </c>
      <c r="M31" s="30">
        <f t="shared" si="4"/>
        <v>-11375</v>
      </c>
      <c r="N31" s="30">
        <f>-SUM(22.75+1)</f>
        <v>-23.75</v>
      </c>
      <c r="O31" s="30">
        <f t="shared" si="5"/>
        <v>-11398.75</v>
      </c>
      <c r="P31" s="68"/>
    </row>
    <row r="32" spans="2:16" ht="25.2">
      <c r="B32" s="22" t="s">
        <v>3397</v>
      </c>
      <c r="C32" s="54" t="s">
        <v>3324</v>
      </c>
      <c r="D32" s="74" t="s">
        <v>3325</v>
      </c>
      <c r="E32" s="32" t="s">
        <v>3305</v>
      </c>
      <c r="F32" s="70">
        <v>43682</v>
      </c>
      <c r="G32" s="70">
        <v>43678</v>
      </c>
      <c r="H32" s="32" t="s">
        <v>3301</v>
      </c>
      <c r="I32" s="27" t="s">
        <v>3302</v>
      </c>
      <c r="J32" s="22" t="s">
        <v>3303</v>
      </c>
      <c r="K32" s="123">
        <v>500000</v>
      </c>
      <c r="L32" s="29">
        <v>0.0455</v>
      </c>
      <c r="M32" s="30">
        <f t="shared" si="4"/>
        <v>-22750</v>
      </c>
      <c r="N32" s="30">
        <f>-SUM(45.5+1)</f>
        <v>-46.5</v>
      </c>
      <c r="O32" s="30">
        <f t="shared" si="5"/>
        <v>-22796.5</v>
      </c>
      <c r="P32" s="68"/>
    </row>
    <row r="33" spans="2:16" ht="25.2">
      <c r="B33" s="22" t="s">
        <v>3397</v>
      </c>
      <c r="C33" s="54" t="s">
        <v>3324</v>
      </c>
      <c r="D33" s="74" t="s">
        <v>3325</v>
      </c>
      <c r="E33" s="32" t="s">
        <v>3305</v>
      </c>
      <c r="F33" s="70">
        <v>43698</v>
      </c>
      <c r="G33" s="70">
        <v>43696</v>
      </c>
      <c r="H33" s="32" t="s">
        <v>3301</v>
      </c>
      <c r="I33" s="27" t="s">
        <v>3302</v>
      </c>
      <c r="J33" s="22" t="s">
        <v>3303</v>
      </c>
      <c r="K33" s="123">
        <v>150000</v>
      </c>
      <c r="L33" s="81">
        <v>0.042</v>
      </c>
      <c r="M33" s="30">
        <f t="shared" si="4"/>
        <v>-6300</v>
      </c>
      <c r="N33" s="30">
        <f>-SUM(12.6)</f>
        <v>-12.6</v>
      </c>
      <c r="O33" s="30">
        <f t="shared" si="5"/>
        <v>-6312.6</v>
      </c>
      <c r="P33" s="68"/>
    </row>
    <row r="34" spans="2:16" ht="15">
      <c r="B34" s="22" t="s">
        <v>3397</v>
      </c>
      <c r="C34" s="54" t="s">
        <v>3330</v>
      </c>
      <c r="D34" s="77" t="s">
        <v>3331</v>
      </c>
      <c r="E34" s="32" t="s">
        <v>3305</v>
      </c>
      <c r="F34" s="70">
        <v>43655</v>
      </c>
      <c r="G34" s="70">
        <v>43651</v>
      </c>
      <c r="H34" s="32" t="s">
        <v>3332</v>
      </c>
      <c r="I34" s="27" t="s">
        <v>3302</v>
      </c>
      <c r="J34" s="22" t="s">
        <v>3303</v>
      </c>
      <c r="K34" s="123">
        <v>22000</v>
      </c>
      <c r="L34" s="29">
        <v>0.47</v>
      </c>
      <c r="M34" s="30">
        <f aca="true" t="shared" si="6" ref="M34:M38">-K34*L34</f>
        <v>-10340</v>
      </c>
      <c r="N34" s="30">
        <f>-SUM(20.68+51.8+1)</f>
        <v>-73.47999999999999</v>
      </c>
      <c r="O34" s="30">
        <f aca="true" t="shared" si="7" ref="O34:O38">M34+N34</f>
        <v>-10413.48</v>
      </c>
      <c r="P34" s="68"/>
    </row>
    <row r="35" spans="2:16" ht="15">
      <c r="B35" s="22" t="s">
        <v>3397</v>
      </c>
      <c r="C35" s="54" t="s">
        <v>3330</v>
      </c>
      <c r="D35" s="77" t="s">
        <v>3331</v>
      </c>
      <c r="E35" s="32" t="s">
        <v>3305</v>
      </c>
      <c r="F35" s="70">
        <v>43662</v>
      </c>
      <c r="G35" s="70">
        <v>43658</v>
      </c>
      <c r="H35" s="32" t="s">
        <v>3332</v>
      </c>
      <c r="I35" s="27" t="s">
        <v>3302</v>
      </c>
      <c r="J35" s="22" t="s">
        <v>3303</v>
      </c>
      <c r="K35" s="123">
        <v>100000</v>
      </c>
      <c r="L35" s="29">
        <v>0.46</v>
      </c>
      <c r="M35" s="30">
        <f t="shared" si="6"/>
        <v>-46000</v>
      </c>
      <c r="N35" s="30">
        <f>-SUM(92+230.46+1)</f>
        <v>-323.46000000000004</v>
      </c>
      <c r="O35" s="30">
        <f t="shared" si="7"/>
        <v>-46323.46</v>
      </c>
      <c r="P35" s="68"/>
    </row>
    <row r="36" spans="2:16" ht="15">
      <c r="B36" s="22" t="s">
        <v>3397</v>
      </c>
      <c r="C36" s="54" t="s">
        <v>3330</v>
      </c>
      <c r="D36" s="77" t="s">
        <v>3331</v>
      </c>
      <c r="E36" s="32" t="s">
        <v>3305</v>
      </c>
      <c r="F36" s="70">
        <v>43662</v>
      </c>
      <c r="G36" s="70">
        <v>43658</v>
      </c>
      <c r="H36" s="32" t="s">
        <v>3332</v>
      </c>
      <c r="I36" s="27" t="s">
        <v>3333</v>
      </c>
      <c r="J36" s="22" t="s">
        <v>3334</v>
      </c>
      <c r="K36" s="123">
        <v>7036</v>
      </c>
      <c r="L36" s="29">
        <v>0.47</v>
      </c>
      <c r="M36" s="30">
        <f t="shared" si="6"/>
        <v>-3306.9199999999996</v>
      </c>
      <c r="N36" s="30">
        <f>-SUM(6.61+16.57)</f>
        <v>-23.18</v>
      </c>
      <c r="O36" s="30">
        <f t="shared" si="7"/>
        <v>-3330.0999999999995</v>
      </c>
      <c r="P36" s="68"/>
    </row>
    <row r="37" spans="2:16" ht="15">
      <c r="B37" s="22" t="s">
        <v>3397</v>
      </c>
      <c r="C37" s="54" t="s">
        <v>3335</v>
      </c>
      <c r="D37" s="22" t="s">
        <v>3329</v>
      </c>
      <c r="E37" s="32" t="s">
        <v>3305</v>
      </c>
      <c r="F37" s="70">
        <v>43815</v>
      </c>
      <c r="G37" s="70">
        <v>43811</v>
      </c>
      <c r="H37" s="32" t="s">
        <v>3332</v>
      </c>
      <c r="I37" s="27" t="s">
        <v>3333</v>
      </c>
      <c r="J37" s="22" t="s">
        <v>3334</v>
      </c>
      <c r="K37" s="123">
        <v>3575779</v>
      </c>
      <c r="L37" s="29">
        <v>0.355</v>
      </c>
      <c r="M37" s="30">
        <f t="shared" si="6"/>
        <v>-1269401.545</v>
      </c>
      <c r="N37" s="30">
        <f>-SUM(41.67,2538.8,5.83,6360.7)</f>
        <v>-8947</v>
      </c>
      <c r="O37" s="67">
        <f t="shared" si="7"/>
        <v>-1278348.545</v>
      </c>
      <c r="P37" s="72"/>
    </row>
    <row r="38" spans="2:16" ht="15">
      <c r="B38" s="22" t="s">
        <v>3397</v>
      </c>
      <c r="C38" s="54" t="s">
        <v>3336</v>
      </c>
      <c r="D38" s="22" t="s">
        <v>509</v>
      </c>
      <c r="E38" s="32" t="s">
        <v>3305</v>
      </c>
      <c r="F38" s="70">
        <v>43811</v>
      </c>
      <c r="G38" s="70">
        <v>43815</v>
      </c>
      <c r="H38" s="32" t="s">
        <v>3332</v>
      </c>
      <c r="I38" s="27" t="s">
        <v>3333</v>
      </c>
      <c r="J38" s="22" t="s">
        <v>3334</v>
      </c>
      <c r="K38" s="123">
        <v>151922</v>
      </c>
      <c r="L38" s="29">
        <v>0.355</v>
      </c>
      <c r="M38" s="30">
        <f t="shared" si="6"/>
        <v>-53932.31</v>
      </c>
      <c r="N38" s="30">
        <f>-SUM(42.55+107.86+5.96+271.2)</f>
        <v>-427.57</v>
      </c>
      <c r="O38" s="67">
        <f t="shared" si="7"/>
        <v>-54359.88</v>
      </c>
      <c r="P38" s="72"/>
    </row>
    <row r="39" spans="2:16" ht="15">
      <c r="B39" s="22" t="s">
        <v>3397</v>
      </c>
      <c r="C39" s="54" t="s">
        <v>3337</v>
      </c>
      <c r="D39" s="77" t="s">
        <v>3338</v>
      </c>
      <c r="E39" s="32" t="s">
        <v>3305</v>
      </c>
      <c r="F39" s="70">
        <v>43520</v>
      </c>
      <c r="G39" s="70">
        <v>43516</v>
      </c>
      <c r="H39" s="32" t="s">
        <v>3317</v>
      </c>
      <c r="I39" s="27" t="s">
        <v>3318</v>
      </c>
      <c r="J39" s="22" t="s">
        <v>3319</v>
      </c>
      <c r="K39" s="123">
        <v>925166</v>
      </c>
      <c r="L39" s="29">
        <v>2.14</v>
      </c>
      <c r="M39" s="30">
        <f aca="true" t="shared" si="8" ref="M39:M46">-K39*L39</f>
        <v>-1979855.2400000002</v>
      </c>
      <c r="N39" s="30">
        <f>-SUM(41.88,3959.71,5.86,1)</f>
        <v>-4008.4500000000003</v>
      </c>
      <c r="O39" s="30">
        <f aca="true" t="shared" si="9" ref="O39">M39+N39</f>
        <v>-1983863.6900000002</v>
      </c>
      <c r="P39" s="68"/>
    </row>
    <row r="40" spans="2:16" ht="15">
      <c r="B40" s="22" t="s">
        <v>3397</v>
      </c>
      <c r="C40" s="54" t="s">
        <v>3341</v>
      </c>
      <c r="D40" s="77" t="s">
        <v>3342</v>
      </c>
      <c r="E40" s="32" t="s">
        <v>3305</v>
      </c>
      <c r="F40" s="70">
        <v>43550</v>
      </c>
      <c r="G40" s="70">
        <v>43546</v>
      </c>
      <c r="H40" s="32" t="s">
        <v>3323</v>
      </c>
      <c r="I40" s="27" t="s">
        <v>3326</v>
      </c>
      <c r="J40" s="22" t="s">
        <v>3327</v>
      </c>
      <c r="K40" s="124">
        <v>18191</v>
      </c>
      <c r="L40" s="83">
        <v>1.25</v>
      </c>
      <c r="M40" s="30">
        <f t="shared" si="8"/>
        <v>-22738.75</v>
      </c>
      <c r="N40" s="30">
        <f>-SUM(45.48+1)</f>
        <v>-46.48</v>
      </c>
      <c r="O40" s="30">
        <f>M40+N40</f>
        <v>-22785.23</v>
      </c>
      <c r="P40" s="68"/>
    </row>
    <row r="41" spans="2:16" ht="15">
      <c r="B41" s="22" t="s">
        <v>3397</v>
      </c>
      <c r="C41" s="54" t="s">
        <v>3341</v>
      </c>
      <c r="D41" s="77" t="s">
        <v>3342</v>
      </c>
      <c r="E41" s="32" t="s">
        <v>3305</v>
      </c>
      <c r="F41" s="70">
        <v>43557</v>
      </c>
      <c r="G41" s="70">
        <v>43553</v>
      </c>
      <c r="H41" s="32" t="s">
        <v>3323</v>
      </c>
      <c r="I41" s="27" t="s">
        <v>3326</v>
      </c>
      <c r="J41" s="22" t="s">
        <v>3327</v>
      </c>
      <c r="K41" s="124">
        <v>52155</v>
      </c>
      <c r="L41" s="83">
        <v>1.319565</v>
      </c>
      <c r="M41" s="30">
        <f t="shared" si="8"/>
        <v>-68821.91257500001</v>
      </c>
      <c r="N41" s="30">
        <f>-SUM(137.65+1)</f>
        <v>-138.65</v>
      </c>
      <c r="O41" s="30">
        <f>M41+N41</f>
        <v>-68960.562575</v>
      </c>
      <c r="P41" s="68"/>
    </row>
    <row r="42" spans="2:16" ht="15">
      <c r="B42" s="22" t="s">
        <v>3397</v>
      </c>
      <c r="C42" s="54" t="s">
        <v>3341</v>
      </c>
      <c r="D42" s="77" t="s">
        <v>3342</v>
      </c>
      <c r="E42" s="32" t="s">
        <v>3305</v>
      </c>
      <c r="F42" s="70">
        <v>43564</v>
      </c>
      <c r="G42" s="70">
        <v>43560</v>
      </c>
      <c r="H42" s="32" t="s">
        <v>3323</v>
      </c>
      <c r="I42" s="27" t="s">
        <v>3326</v>
      </c>
      <c r="J42" s="22" t="s">
        <v>3327</v>
      </c>
      <c r="K42" s="124">
        <v>31747</v>
      </c>
      <c r="L42" s="83">
        <v>1.35</v>
      </c>
      <c r="M42" s="30">
        <f t="shared" si="8"/>
        <v>-42858.450000000004</v>
      </c>
      <c r="N42" s="30">
        <f>-SUM(85.72+1)</f>
        <v>-86.72</v>
      </c>
      <c r="O42" s="30">
        <f>M42+N42</f>
        <v>-42945.170000000006</v>
      </c>
      <c r="P42" s="68"/>
    </row>
    <row r="43" spans="2:16" s="61" customFormat="1" ht="15">
      <c r="B43" s="22" t="s">
        <v>3397</v>
      </c>
      <c r="C43" s="54" t="s">
        <v>3343</v>
      </c>
      <c r="D43" s="61" t="s">
        <v>3342</v>
      </c>
      <c r="E43" s="62" t="s">
        <v>3305</v>
      </c>
      <c r="F43" s="63">
        <v>43752</v>
      </c>
      <c r="G43" s="63">
        <v>43748</v>
      </c>
      <c r="H43" s="62" t="s">
        <v>3323</v>
      </c>
      <c r="I43" s="64" t="s">
        <v>3302</v>
      </c>
      <c r="J43" s="22" t="s">
        <v>3303</v>
      </c>
      <c r="K43" s="122">
        <v>62109</v>
      </c>
      <c r="L43" s="85">
        <v>1.1</v>
      </c>
      <c r="M43" s="67">
        <f t="shared" si="8"/>
        <v>-68319.90000000001</v>
      </c>
      <c r="N43" s="67">
        <f>-SUM(43.95,136.64,6.15,1)</f>
        <v>-187.73999999999998</v>
      </c>
      <c r="O43" s="67">
        <f>M43+N43</f>
        <v>-68507.64000000001</v>
      </c>
      <c r="P43" s="68"/>
    </row>
    <row r="44" spans="2:16" s="61" customFormat="1" ht="15">
      <c r="B44" s="22" t="s">
        <v>3397</v>
      </c>
      <c r="C44" s="54" t="s">
        <v>3343</v>
      </c>
      <c r="D44" s="61" t="s">
        <v>3342</v>
      </c>
      <c r="E44" s="62" t="s">
        <v>3305</v>
      </c>
      <c r="F44" s="63">
        <v>43759</v>
      </c>
      <c r="G44" s="63">
        <v>43755</v>
      </c>
      <c r="H44" s="62" t="s">
        <v>3344</v>
      </c>
      <c r="I44" s="64" t="s">
        <v>3312</v>
      </c>
      <c r="J44" s="22" t="s">
        <v>3313</v>
      </c>
      <c r="K44" s="125">
        <v>166568</v>
      </c>
      <c r="L44" s="66">
        <v>1.11</v>
      </c>
      <c r="M44" s="67">
        <f t="shared" si="8"/>
        <v>-184890.48</v>
      </c>
      <c r="N44" s="67">
        <f>-SUM(43.15,369.78,6.04,1)</f>
        <v>-419.96999999999997</v>
      </c>
      <c r="O44" s="67">
        <f>M44+N44</f>
        <v>-185310.45</v>
      </c>
      <c r="P44" s="68"/>
    </row>
    <row r="45" spans="2:16" ht="15">
      <c r="B45" s="22" t="s">
        <v>3397</v>
      </c>
      <c r="C45" s="54" t="s">
        <v>3345</v>
      </c>
      <c r="D45" s="77" t="s">
        <v>3346</v>
      </c>
      <c r="E45" s="32" t="s">
        <v>3305</v>
      </c>
      <c r="F45" s="70">
        <v>43559</v>
      </c>
      <c r="G45" s="70">
        <v>43557</v>
      </c>
      <c r="H45" s="32" t="s">
        <v>3352</v>
      </c>
      <c r="I45" s="27" t="s">
        <v>90</v>
      </c>
      <c r="J45" s="22" t="s">
        <v>3353</v>
      </c>
      <c r="K45" s="123">
        <v>727272</v>
      </c>
      <c r="L45" s="29">
        <v>0.55</v>
      </c>
      <c r="M45" s="30">
        <f t="shared" si="8"/>
        <v>-399999.60000000003</v>
      </c>
      <c r="N45" s="30">
        <f>-SUM(800+1)</f>
        <v>-801</v>
      </c>
      <c r="O45" s="30">
        <f aca="true" t="shared" si="10" ref="O45:O46">M45+N45</f>
        <v>-400800.60000000003</v>
      </c>
      <c r="P45" s="68"/>
    </row>
    <row r="46" spans="2:16" ht="15">
      <c r="B46" s="22" t="s">
        <v>3397</v>
      </c>
      <c r="C46" s="54" t="s">
        <v>3345</v>
      </c>
      <c r="D46" s="77" t="s">
        <v>3346</v>
      </c>
      <c r="E46" s="32" t="s">
        <v>3305</v>
      </c>
      <c r="F46" s="70">
        <v>43620</v>
      </c>
      <c r="G46" s="70">
        <v>43616</v>
      </c>
      <c r="H46" s="32" t="s">
        <v>3344</v>
      </c>
      <c r="I46" s="27" t="s">
        <v>3350</v>
      </c>
      <c r="J46" s="22" t="s">
        <v>3306</v>
      </c>
      <c r="K46" s="123">
        <v>773334</v>
      </c>
      <c r="L46" s="29">
        <v>0.6</v>
      </c>
      <c r="M46" s="30">
        <f t="shared" si="8"/>
        <v>-464000.39999999997</v>
      </c>
      <c r="N46" s="30">
        <f>-SUM(44.08+6.17)</f>
        <v>-50.25</v>
      </c>
      <c r="O46" s="30">
        <f t="shared" si="10"/>
        <v>-464050.64999999997</v>
      </c>
      <c r="P46" s="68"/>
    </row>
    <row r="47" spans="2:16" ht="15">
      <c r="B47" s="22" t="s">
        <v>3397</v>
      </c>
      <c r="C47" s="54" t="s">
        <v>3355</v>
      </c>
      <c r="D47" s="77" t="s">
        <v>509</v>
      </c>
      <c r="E47" s="32" t="s">
        <v>3305</v>
      </c>
      <c r="F47" s="70">
        <v>43516</v>
      </c>
      <c r="G47" s="70">
        <v>43518</v>
      </c>
      <c r="H47" s="32" t="s">
        <v>3317</v>
      </c>
      <c r="I47" s="27" t="s">
        <v>3318</v>
      </c>
      <c r="J47" s="22" t="s">
        <v>3319</v>
      </c>
      <c r="K47" s="123">
        <v>420000</v>
      </c>
      <c r="L47" s="29">
        <v>2.2</v>
      </c>
      <c r="M47" s="30">
        <f aca="true" t="shared" si="11" ref="M47:M60">-K47*L47</f>
        <v>-924000.0000000001</v>
      </c>
      <c r="N47" s="30">
        <f>-SUM(462+1)</f>
        <v>-463</v>
      </c>
      <c r="O47" s="30">
        <f aca="true" t="shared" si="12" ref="O47:O60">M47+N47</f>
        <v>-924463.0000000001</v>
      </c>
      <c r="P47" s="68"/>
    </row>
    <row r="48" spans="2:16" ht="15">
      <c r="B48" s="22" t="s">
        <v>3397</v>
      </c>
      <c r="C48" s="54" t="s">
        <v>3355</v>
      </c>
      <c r="D48" s="77" t="s">
        <v>509</v>
      </c>
      <c r="E48" s="32" t="s">
        <v>3311</v>
      </c>
      <c r="F48" s="70">
        <v>43563</v>
      </c>
      <c r="G48" s="70">
        <v>43559</v>
      </c>
      <c r="H48" s="32" t="s">
        <v>3317</v>
      </c>
      <c r="I48" s="27" t="s">
        <v>3318</v>
      </c>
      <c r="J48" s="22" t="s">
        <v>3319</v>
      </c>
      <c r="K48" s="123">
        <v>220000</v>
      </c>
      <c r="L48" s="29">
        <v>3.1</v>
      </c>
      <c r="M48" s="30">
        <f t="shared" si="11"/>
        <v>-682000</v>
      </c>
      <c r="N48" s="30">
        <f>-SUM(1364)</f>
        <v>-1364</v>
      </c>
      <c r="O48" s="30">
        <f t="shared" si="12"/>
        <v>-683364</v>
      </c>
      <c r="P48" s="68"/>
    </row>
    <row r="49" spans="2:16" ht="15">
      <c r="B49" s="22" t="s">
        <v>3397</v>
      </c>
      <c r="C49" s="54" t="s">
        <v>3355</v>
      </c>
      <c r="D49" s="77" t="s">
        <v>509</v>
      </c>
      <c r="E49" s="32" t="s">
        <v>3311</v>
      </c>
      <c r="F49" s="70">
        <v>43663</v>
      </c>
      <c r="G49" s="70">
        <v>43661</v>
      </c>
      <c r="H49" s="32" t="s">
        <v>3301</v>
      </c>
      <c r="I49" s="27" t="s">
        <v>3302</v>
      </c>
      <c r="J49" s="22" t="s">
        <v>3303</v>
      </c>
      <c r="K49" s="123">
        <v>1001026</v>
      </c>
      <c r="L49" s="29">
        <v>3.25</v>
      </c>
      <c r="M49" s="30">
        <f t="shared" si="11"/>
        <v>-3253334.5</v>
      </c>
      <c r="N49" s="30">
        <f>-6506.67-1</f>
        <v>-6507.67</v>
      </c>
      <c r="O49" s="30">
        <f t="shared" si="12"/>
        <v>-3259842.17</v>
      </c>
      <c r="P49" s="68"/>
    </row>
    <row r="50" spans="2:16" ht="15">
      <c r="B50" s="22" t="s">
        <v>3397</v>
      </c>
      <c r="C50" s="54" t="s">
        <v>3355</v>
      </c>
      <c r="D50" s="77" t="s">
        <v>509</v>
      </c>
      <c r="E50" s="32" t="s">
        <v>3311</v>
      </c>
      <c r="F50" s="70">
        <v>43720</v>
      </c>
      <c r="G50" s="70">
        <v>43714</v>
      </c>
      <c r="H50" s="32" t="s">
        <v>3301</v>
      </c>
      <c r="I50" s="27" t="s">
        <v>3302</v>
      </c>
      <c r="J50" s="22" t="s">
        <v>3303</v>
      </c>
      <c r="K50" s="123">
        <v>71950</v>
      </c>
      <c r="L50" s="29">
        <v>3.3265624</v>
      </c>
      <c r="M50" s="30">
        <f t="shared" si="11"/>
        <v>-239346.16468</v>
      </c>
      <c r="N50" s="76">
        <f>-(SUM(44.69,478.69,6.26,1))</f>
        <v>-530.64</v>
      </c>
      <c r="O50" s="30">
        <f t="shared" si="12"/>
        <v>-239876.80468</v>
      </c>
      <c r="P50" s="68"/>
    </row>
    <row r="51" spans="2:16" ht="15">
      <c r="B51" s="22" t="s">
        <v>3397</v>
      </c>
      <c r="C51" s="54" t="s">
        <v>3355</v>
      </c>
      <c r="D51" s="77" t="s">
        <v>509</v>
      </c>
      <c r="E51" s="32" t="s">
        <v>3311</v>
      </c>
      <c r="F51" s="87">
        <v>43798</v>
      </c>
      <c r="G51" s="70">
        <v>43796</v>
      </c>
      <c r="H51" s="32" t="s">
        <v>3301</v>
      </c>
      <c r="I51" s="27" t="s">
        <v>3302</v>
      </c>
      <c r="J51" s="22" t="s">
        <v>3303</v>
      </c>
      <c r="K51" s="123">
        <v>82102</v>
      </c>
      <c r="L51" s="22">
        <v>3.205</v>
      </c>
      <c r="M51" s="30">
        <f t="shared" si="11"/>
        <v>-263136.91000000003</v>
      </c>
      <c r="N51" s="30">
        <f>-SUM(42.57,526.27,5.96,1)</f>
        <v>-575.8000000000001</v>
      </c>
      <c r="O51" s="67">
        <f t="shared" si="12"/>
        <v>-263712.71</v>
      </c>
      <c r="P51" s="88"/>
    </row>
    <row r="52" spans="2:16" ht="15">
      <c r="B52" s="22" t="s">
        <v>3397</v>
      </c>
      <c r="C52" s="54" t="s">
        <v>3355</v>
      </c>
      <c r="D52" s="77" t="s">
        <v>509</v>
      </c>
      <c r="E52" s="32" t="s">
        <v>3311</v>
      </c>
      <c r="F52" s="87">
        <v>43801</v>
      </c>
      <c r="G52" s="70">
        <v>43797</v>
      </c>
      <c r="H52" s="32" t="s">
        <v>3301</v>
      </c>
      <c r="I52" s="27" t="s">
        <v>3302</v>
      </c>
      <c r="J52" s="22" t="s">
        <v>3303</v>
      </c>
      <c r="K52" s="123">
        <v>245827</v>
      </c>
      <c r="L52" s="22">
        <v>3.205</v>
      </c>
      <c r="M52" s="30">
        <f t="shared" si="11"/>
        <v>-787875.535</v>
      </c>
      <c r="N52" s="30">
        <f>-SUM(42.65,1575.75,5.97,1)</f>
        <v>-1625.3700000000001</v>
      </c>
      <c r="O52" s="67">
        <f t="shared" si="12"/>
        <v>-789500.905</v>
      </c>
      <c r="P52" s="88"/>
    </row>
    <row r="53" spans="2:16" ht="15">
      <c r="B53" s="22" t="s">
        <v>3397</v>
      </c>
      <c r="C53" s="54" t="s">
        <v>3355</v>
      </c>
      <c r="D53" s="77" t="s">
        <v>509</v>
      </c>
      <c r="E53" s="32" t="s">
        <v>3311</v>
      </c>
      <c r="F53" s="70">
        <v>43805</v>
      </c>
      <c r="G53" s="70">
        <v>43803</v>
      </c>
      <c r="H53" s="32" t="s">
        <v>3301</v>
      </c>
      <c r="I53" s="27" t="s">
        <v>3302</v>
      </c>
      <c r="J53" s="22" t="s">
        <v>3303</v>
      </c>
      <c r="K53" s="123">
        <v>196262</v>
      </c>
      <c r="L53" s="29">
        <v>3.2351</v>
      </c>
      <c r="M53" s="30">
        <f t="shared" si="11"/>
        <v>-634927.1962</v>
      </c>
      <c r="N53" s="30">
        <f>-SUM(42.24,1269.85,5.91,1)</f>
        <v>-1319</v>
      </c>
      <c r="O53" s="67">
        <f t="shared" si="12"/>
        <v>-636246.1962</v>
      </c>
      <c r="P53" s="71"/>
    </row>
    <row r="54" spans="2:16" ht="15">
      <c r="B54" s="22" t="s">
        <v>3397</v>
      </c>
      <c r="C54" s="54" t="s">
        <v>3355</v>
      </c>
      <c r="D54" s="22" t="s">
        <v>509</v>
      </c>
      <c r="E54" s="32" t="s">
        <v>3311</v>
      </c>
      <c r="F54" s="70">
        <v>43810</v>
      </c>
      <c r="G54" s="70">
        <v>43808</v>
      </c>
      <c r="H54" s="32" t="s">
        <v>3317</v>
      </c>
      <c r="I54" s="27" t="s">
        <v>3318</v>
      </c>
      <c r="J54" s="22" t="s">
        <v>3319</v>
      </c>
      <c r="K54" s="123">
        <v>26744</v>
      </c>
      <c r="L54" s="29">
        <v>3.24</v>
      </c>
      <c r="M54" s="30">
        <f t="shared" si="11"/>
        <v>-86650.56000000001</v>
      </c>
      <c r="N54" s="30">
        <f>-SUM(42.25,173.3,5.91,1)</f>
        <v>-222.46</v>
      </c>
      <c r="O54" s="67">
        <f t="shared" si="12"/>
        <v>-86873.02000000002</v>
      </c>
      <c r="P54" s="72"/>
    </row>
    <row r="55" spans="2:16" ht="15">
      <c r="B55" s="22" t="s">
        <v>3397</v>
      </c>
      <c r="C55" s="54" t="s">
        <v>3355</v>
      </c>
      <c r="D55" s="22" t="s">
        <v>509</v>
      </c>
      <c r="E55" s="32" t="s">
        <v>3311</v>
      </c>
      <c r="F55" s="70">
        <v>43815</v>
      </c>
      <c r="G55" s="70">
        <v>43811</v>
      </c>
      <c r="H55" s="32" t="s">
        <v>3301</v>
      </c>
      <c r="I55" s="27" t="s">
        <v>3302</v>
      </c>
      <c r="J55" s="22" t="s">
        <v>3303</v>
      </c>
      <c r="K55" s="123">
        <v>27388</v>
      </c>
      <c r="L55" s="29">
        <v>3.24</v>
      </c>
      <c r="M55" s="30">
        <f t="shared" si="11"/>
        <v>-88737.12000000001</v>
      </c>
      <c r="N55" s="30">
        <f>-SUM(41.67,177.47,5.83,1)</f>
        <v>-225.97</v>
      </c>
      <c r="O55" s="67">
        <f t="shared" si="12"/>
        <v>-88963.09000000001</v>
      </c>
      <c r="P55" s="72"/>
    </row>
    <row r="56" spans="2:16" ht="15">
      <c r="B56" s="22" t="s">
        <v>3397</v>
      </c>
      <c r="C56" s="54" t="s">
        <v>3355</v>
      </c>
      <c r="D56" s="22" t="s">
        <v>509</v>
      </c>
      <c r="E56" s="32" t="s">
        <v>3311</v>
      </c>
      <c r="F56" s="70">
        <v>43819</v>
      </c>
      <c r="G56" s="70">
        <v>43817</v>
      </c>
      <c r="H56" s="32" t="s">
        <v>3301</v>
      </c>
      <c r="I56" s="27" t="s">
        <v>3302</v>
      </c>
      <c r="J56" s="22" t="s">
        <v>3303</v>
      </c>
      <c r="K56" s="123">
        <v>162437</v>
      </c>
      <c r="L56" s="29">
        <v>3.14</v>
      </c>
      <c r="M56" s="30">
        <f t="shared" si="11"/>
        <v>-510052.18</v>
      </c>
      <c r="N56" s="30">
        <f>-SUM(42.6+1020.1+5.96+1)</f>
        <v>-1069.66</v>
      </c>
      <c r="O56" s="67">
        <f t="shared" si="12"/>
        <v>-511121.83999999997</v>
      </c>
      <c r="P56" s="72"/>
    </row>
    <row r="57" spans="2:16" ht="15">
      <c r="B57" s="22" t="s">
        <v>3397</v>
      </c>
      <c r="C57" s="54" t="s">
        <v>3355</v>
      </c>
      <c r="D57" s="22" t="s">
        <v>509</v>
      </c>
      <c r="E57" s="32" t="s">
        <v>3311</v>
      </c>
      <c r="F57" s="70">
        <v>43822</v>
      </c>
      <c r="G57" s="70">
        <v>43818</v>
      </c>
      <c r="H57" s="32" t="s">
        <v>3301</v>
      </c>
      <c r="I57" s="27" t="s">
        <v>3302</v>
      </c>
      <c r="J57" s="22" t="s">
        <v>3303</v>
      </c>
      <c r="K57" s="123">
        <v>91149</v>
      </c>
      <c r="L57" s="29">
        <v>3.14</v>
      </c>
      <c r="M57" s="30">
        <f t="shared" si="11"/>
        <v>-286207.86</v>
      </c>
      <c r="N57" s="30">
        <f>-SUM(42.55+572.42+5.96+1)</f>
        <v>-621.93</v>
      </c>
      <c r="O57" s="67">
        <f t="shared" si="12"/>
        <v>-286829.79</v>
      </c>
      <c r="P57" s="72"/>
    </row>
    <row r="58" spans="2:16" ht="15">
      <c r="B58" s="22" t="s">
        <v>3397</v>
      </c>
      <c r="C58" s="54" t="s">
        <v>3355</v>
      </c>
      <c r="D58" s="22" t="s">
        <v>509</v>
      </c>
      <c r="E58" s="32" t="s">
        <v>3311</v>
      </c>
      <c r="F58" s="70">
        <v>43496</v>
      </c>
      <c r="G58" s="70">
        <v>43494</v>
      </c>
      <c r="H58" s="32" t="s">
        <v>3301</v>
      </c>
      <c r="I58" s="27" t="s">
        <v>3302</v>
      </c>
      <c r="J58" s="22" t="s">
        <v>3303</v>
      </c>
      <c r="K58" s="126">
        <v>353972</v>
      </c>
      <c r="L58" s="22">
        <v>3.81</v>
      </c>
      <c r="M58" s="30">
        <f t="shared" si="11"/>
        <v>-1348633.32</v>
      </c>
      <c r="N58" s="30">
        <f>-SUM(42.42,2697.27,5.94,1)</f>
        <v>-2746.63</v>
      </c>
      <c r="O58" s="67">
        <f t="shared" si="12"/>
        <v>-1351379.95</v>
      </c>
      <c r="P58" s="72"/>
    </row>
    <row r="59" spans="2:16" ht="15">
      <c r="B59" s="22" t="s">
        <v>3397</v>
      </c>
      <c r="C59" s="54" t="s">
        <v>3355</v>
      </c>
      <c r="D59" s="22" t="s">
        <v>509</v>
      </c>
      <c r="E59" s="32" t="s">
        <v>3311</v>
      </c>
      <c r="F59" s="70">
        <v>43496</v>
      </c>
      <c r="G59" s="70">
        <v>43494</v>
      </c>
      <c r="H59" s="32" t="s">
        <v>3301</v>
      </c>
      <c r="I59" s="27" t="s">
        <v>3302</v>
      </c>
      <c r="J59" s="22" t="s">
        <v>3303</v>
      </c>
      <c r="K59" s="126">
        <v>200000</v>
      </c>
      <c r="L59" s="22">
        <v>3.81</v>
      </c>
      <c r="M59" s="30">
        <f t="shared" si="11"/>
        <v>-762000</v>
      </c>
      <c r="N59" s="30">
        <f>-SUM(42.42,1524,5.94,1)</f>
        <v>-1573.3600000000001</v>
      </c>
      <c r="O59" s="67">
        <f t="shared" si="12"/>
        <v>-763573.36</v>
      </c>
      <c r="P59" s="72"/>
    </row>
    <row r="60" spans="2:16" ht="15">
      <c r="B60" s="22" t="s">
        <v>3397</v>
      </c>
      <c r="C60" s="54" t="s">
        <v>3355</v>
      </c>
      <c r="D60" s="22" t="s">
        <v>509</v>
      </c>
      <c r="E60" s="32" t="s">
        <v>3311</v>
      </c>
      <c r="F60" s="70">
        <v>43882</v>
      </c>
      <c r="G60" s="70">
        <v>43515</v>
      </c>
      <c r="H60" s="32" t="s">
        <v>3317</v>
      </c>
      <c r="I60" s="27" t="s">
        <v>3318</v>
      </c>
      <c r="J60" s="22" t="s">
        <v>3319</v>
      </c>
      <c r="K60" s="126">
        <v>20000</v>
      </c>
      <c r="L60" s="22">
        <v>4.21</v>
      </c>
      <c r="M60" s="30">
        <f t="shared" si="11"/>
        <v>-84200</v>
      </c>
      <c r="N60" s="30">
        <f>-SUM(41.88,168.4,5.86,1)</f>
        <v>-217.14000000000001</v>
      </c>
      <c r="O60" s="67">
        <f t="shared" si="12"/>
        <v>-84417.14</v>
      </c>
      <c r="P60" s="72"/>
    </row>
    <row r="61" spans="2:16" ht="15">
      <c r="B61" s="22" t="s">
        <v>3397</v>
      </c>
      <c r="C61" s="54" t="s">
        <v>3356</v>
      </c>
      <c r="D61" s="78" t="s">
        <v>3357</v>
      </c>
      <c r="E61" s="32" t="s">
        <v>3305</v>
      </c>
      <c r="F61" s="70">
        <v>43525</v>
      </c>
      <c r="G61" s="70">
        <v>43529</v>
      </c>
      <c r="H61" s="32" t="s">
        <v>3317</v>
      </c>
      <c r="I61" s="27" t="s">
        <v>3318</v>
      </c>
      <c r="J61" s="22" t="s">
        <v>3327</v>
      </c>
      <c r="K61" s="124">
        <v>1286610</v>
      </c>
      <c r="L61" s="83">
        <v>0.01</v>
      </c>
      <c r="M61" s="30">
        <f aca="true" t="shared" si="13" ref="M61:M67">-K61*L61</f>
        <v>-12866.1</v>
      </c>
      <c r="N61" s="30">
        <f>-SUM(25.74+1)</f>
        <v>-26.74</v>
      </c>
      <c r="O61" s="30">
        <f aca="true" t="shared" si="14" ref="O61:O67">M61+N61</f>
        <v>-12892.84</v>
      </c>
      <c r="P61" s="68"/>
    </row>
    <row r="62" spans="2:16" ht="15">
      <c r="B62" s="22" t="s">
        <v>3397</v>
      </c>
      <c r="C62" s="54" t="s">
        <v>3356</v>
      </c>
      <c r="D62" s="80" t="s">
        <v>3357</v>
      </c>
      <c r="E62" s="32" t="s">
        <v>3305</v>
      </c>
      <c r="F62" s="70">
        <v>43536</v>
      </c>
      <c r="G62" s="70">
        <v>43532</v>
      </c>
      <c r="H62" s="32" t="s">
        <v>3323</v>
      </c>
      <c r="I62" s="27" t="s">
        <v>3326</v>
      </c>
      <c r="J62" s="22" t="s">
        <v>3327</v>
      </c>
      <c r="K62" s="123">
        <v>18403912</v>
      </c>
      <c r="L62" s="29">
        <v>0.0105</v>
      </c>
      <c r="M62" s="30">
        <f t="shared" si="13"/>
        <v>-193241.076</v>
      </c>
      <c r="N62" s="30">
        <f>-SUM(386.48+1)</f>
        <v>-387.48</v>
      </c>
      <c r="O62" s="30">
        <f t="shared" si="14"/>
        <v>-193628.556</v>
      </c>
      <c r="P62" s="68"/>
    </row>
    <row r="63" spans="2:16" ht="15">
      <c r="B63" s="22" t="s">
        <v>3397</v>
      </c>
      <c r="C63" s="54" t="s">
        <v>3356</v>
      </c>
      <c r="D63" s="80" t="s">
        <v>3357</v>
      </c>
      <c r="E63" s="32" t="s">
        <v>3305</v>
      </c>
      <c r="F63" s="70">
        <v>43543</v>
      </c>
      <c r="G63" s="70">
        <v>43539</v>
      </c>
      <c r="H63" s="32" t="s">
        <v>3323</v>
      </c>
      <c r="I63" s="27" t="s">
        <v>3326</v>
      </c>
      <c r="J63" s="22" t="s">
        <v>3327</v>
      </c>
      <c r="K63" s="123">
        <v>1264860</v>
      </c>
      <c r="L63" s="29">
        <v>0.0105</v>
      </c>
      <c r="M63" s="30">
        <f t="shared" si="13"/>
        <v>-13281.03</v>
      </c>
      <c r="N63" s="30">
        <f>-SUM(26.57+1)</f>
        <v>-27.57</v>
      </c>
      <c r="O63" s="30">
        <f t="shared" si="14"/>
        <v>-13308.6</v>
      </c>
      <c r="P63" s="68"/>
    </row>
    <row r="64" spans="2:16" ht="15">
      <c r="B64" s="22" t="s">
        <v>3397</v>
      </c>
      <c r="C64" s="54" t="s">
        <v>3358</v>
      </c>
      <c r="D64" s="78" t="s">
        <v>3357</v>
      </c>
      <c r="E64" s="32" t="s">
        <v>3305</v>
      </c>
      <c r="F64" s="70">
        <v>43543</v>
      </c>
      <c r="G64" s="70">
        <v>43539</v>
      </c>
      <c r="H64" s="32" t="s">
        <v>3317</v>
      </c>
      <c r="I64" s="27" t="s">
        <v>3318</v>
      </c>
      <c r="J64" s="22" t="s">
        <v>3327</v>
      </c>
      <c r="K64" s="124">
        <v>1433507</v>
      </c>
      <c r="L64" s="83">
        <v>0.01028</v>
      </c>
      <c r="M64" s="30">
        <f t="shared" si="13"/>
        <v>-14736.451959999999</v>
      </c>
      <c r="N64" s="30">
        <f>-SUM(29.47+1)</f>
        <v>-30.47</v>
      </c>
      <c r="O64" s="30">
        <f t="shared" si="14"/>
        <v>-14766.921959999998</v>
      </c>
      <c r="P64" s="68"/>
    </row>
    <row r="65" spans="2:16" ht="15">
      <c r="B65" s="22" t="s">
        <v>3397</v>
      </c>
      <c r="C65" s="54" t="s">
        <v>3358</v>
      </c>
      <c r="D65" s="78" t="s">
        <v>3357</v>
      </c>
      <c r="E65" s="32" t="s">
        <v>3305</v>
      </c>
      <c r="F65" s="70">
        <v>43545</v>
      </c>
      <c r="G65" s="70">
        <v>43543</v>
      </c>
      <c r="H65" s="32" t="s">
        <v>3317</v>
      </c>
      <c r="I65" s="27" t="s">
        <v>3318</v>
      </c>
      <c r="J65" s="22" t="s">
        <v>3327</v>
      </c>
      <c r="K65" s="124">
        <v>499643</v>
      </c>
      <c r="L65" s="83">
        <v>0.011452</v>
      </c>
      <c r="M65" s="30">
        <f t="shared" si="13"/>
        <v>-5721.911636</v>
      </c>
      <c r="N65" s="30">
        <f>-SUM(11.44+0)</f>
        <v>-11.44</v>
      </c>
      <c r="O65" s="30">
        <f t="shared" si="14"/>
        <v>-5733.351635999999</v>
      </c>
      <c r="P65" s="68"/>
    </row>
    <row r="66" spans="2:16" ht="15">
      <c r="B66" s="22" t="s">
        <v>3397</v>
      </c>
      <c r="C66" s="54" t="s">
        <v>3356</v>
      </c>
      <c r="D66" s="90" t="s">
        <v>3357</v>
      </c>
      <c r="E66" s="32" t="s">
        <v>3305</v>
      </c>
      <c r="F66" s="70">
        <v>43557</v>
      </c>
      <c r="G66" s="70">
        <v>43553</v>
      </c>
      <c r="H66" s="32" t="s">
        <v>3323</v>
      </c>
      <c r="I66" s="27" t="s">
        <v>3326</v>
      </c>
      <c r="J66" s="22" t="s">
        <v>3327</v>
      </c>
      <c r="K66" s="123">
        <v>6169057</v>
      </c>
      <c r="L66" s="29">
        <v>0.0115</v>
      </c>
      <c r="M66" s="30">
        <f t="shared" si="13"/>
        <v>-70944.1555</v>
      </c>
      <c r="N66" s="30">
        <f>-SUM(141.89+1)</f>
        <v>-142.89</v>
      </c>
      <c r="O66" s="30">
        <f t="shared" si="14"/>
        <v>-71087.0455</v>
      </c>
      <c r="P66" s="68"/>
    </row>
    <row r="67" spans="2:16" ht="15">
      <c r="B67" s="22" t="s">
        <v>3397</v>
      </c>
      <c r="C67" s="54" t="s">
        <v>3356</v>
      </c>
      <c r="D67" s="90" t="s">
        <v>3357</v>
      </c>
      <c r="E67" s="32" t="s">
        <v>3305</v>
      </c>
      <c r="F67" s="70">
        <v>43559</v>
      </c>
      <c r="G67" s="70">
        <v>43557</v>
      </c>
      <c r="H67" s="32" t="s">
        <v>3323</v>
      </c>
      <c r="I67" s="27" t="s">
        <v>3326</v>
      </c>
      <c r="J67" s="22" t="s">
        <v>3327</v>
      </c>
      <c r="K67" s="123">
        <v>2653835</v>
      </c>
      <c r="L67" s="29">
        <v>0.0115</v>
      </c>
      <c r="M67" s="30">
        <f t="shared" si="13"/>
        <v>-30519.1025</v>
      </c>
      <c r="N67" s="30">
        <f>-SUM(61.04+1)</f>
        <v>-62.04</v>
      </c>
      <c r="O67" s="30">
        <f t="shared" si="14"/>
        <v>-30581.1425</v>
      </c>
      <c r="P67" s="68"/>
    </row>
    <row r="68" spans="2:16" ht="25.2">
      <c r="B68" s="22" t="s">
        <v>3397</v>
      </c>
      <c r="C68" s="54" t="s">
        <v>3359</v>
      </c>
      <c r="D68" s="74" t="s">
        <v>3360</v>
      </c>
      <c r="E68" s="32" t="s">
        <v>3305</v>
      </c>
      <c r="F68" s="70">
        <v>43550</v>
      </c>
      <c r="G68" s="70">
        <v>43546</v>
      </c>
      <c r="H68" s="32" t="s">
        <v>3323</v>
      </c>
      <c r="I68" s="27" t="s">
        <v>3318</v>
      </c>
      <c r="J68" s="22" t="s">
        <v>3319</v>
      </c>
      <c r="K68" s="124">
        <v>1025817</v>
      </c>
      <c r="L68" s="22">
        <v>0.8</v>
      </c>
      <c r="M68" s="30">
        <f>-K68*L68</f>
        <v>-820653.6000000001</v>
      </c>
      <c r="N68" s="30">
        <f>-SUM(1641.31+1)</f>
        <v>-1642.31</v>
      </c>
      <c r="O68" s="30">
        <f>M68+N68</f>
        <v>-822295.9100000001</v>
      </c>
      <c r="P68" s="68"/>
    </row>
    <row r="69" spans="2:16" ht="25.2">
      <c r="B69" s="22" t="s">
        <v>3397</v>
      </c>
      <c r="C69" s="54" t="s">
        <v>3359</v>
      </c>
      <c r="D69" s="74" t="s">
        <v>3360</v>
      </c>
      <c r="E69" s="32" t="s">
        <v>3305</v>
      </c>
      <c r="F69" s="70">
        <v>43586</v>
      </c>
      <c r="G69" s="70">
        <v>43584</v>
      </c>
      <c r="H69" s="32" t="s">
        <v>3323</v>
      </c>
      <c r="I69" s="27" t="s">
        <v>3318</v>
      </c>
      <c r="J69" s="22" t="s">
        <v>3319</v>
      </c>
      <c r="K69" s="124">
        <v>1780329</v>
      </c>
      <c r="L69" s="22">
        <v>0.84</v>
      </c>
      <c r="M69" s="30">
        <f>-K69*L69</f>
        <v>-1495476.3599999999</v>
      </c>
      <c r="N69" s="30">
        <f>-SUM(2990.95+1)</f>
        <v>-2991.95</v>
      </c>
      <c r="O69" s="30">
        <f>M69+N69</f>
        <v>-1498468.3099999998</v>
      </c>
      <c r="P69" s="68"/>
    </row>
    <row r="70" spans="2:16" ht="15">
      <c r="B70" s="22" t="s">
        <v>3397</v>
      </c>
      <c r="C70" s="54" t="s">
        <v>3361</v>
      </c>
      <c r="D70" s="91" t="s">
        <v>3362</v>
      </c>
      <c r="E70" s="32" t="s">
        <v>3305</v>
      </c>
      <c r="F70" s="70">
        <v>43796</v>
      </c>
      <c r="G70" s="70">
        <v>43794</v>
      </c>
      <c r="H70" s="32" t="s">
        <v>3317</v>
      </c>
      <c r="I70" s="27" t="s">
        <v>3318</v>
      </c>
      <c r="J70" s="22" t="s">
        <v>3319</v>
      </c>
      <c r="K70" s="123">
        <v>437000</v>
      </c>
      <c r="L70" s="29">
        <v>0.265</v>
      </c>
      <c r="M70" s="30">
        <f aca="true" t="shared" si="15" ref="M70:M74">-K70*L70</f>
        <v>-115805</v>
      </c>
      <c r="N70" s="30">
        <f>-SUM(42.78,231.61,5.99)</f>
        <v>-280.38</v>
      </c>
      <c r="O70" s="67">
        <f aca="true" t="shared" si="16" ref="O70:O74">M70+N70</f>
        <v>-116085.38</v>
      </c>
      <c r="P70" s="68"/>
    </row>
    <row r="71" spans="2:16" ht="15">
      <c r="B71" s="22" t="s">
        <v>3397</v>
      </c>
      <c r="C71" s="54" t="s">
        <v>3361</v>
      </c>
      <c r="D71" s="91" t="s">
        <v>3362</v>
      </c>
      <c r="E71" s="32" t="s">
        <v>3305</v>
      </c>
      <c r="F71" s="70">
        <v>43802</v>
      </c>
      <c r="G71" s="70">
        <v>43798</v>
      </c>
      <c r="H71" s="32" t="s">
        <v>3317</v>
      </c>
      <c r="I71" s="27" t="s">
        <v>3318</v>
      </c>
      <c r="J71" s="22" t="s">
        <v>3319</v>
      </c>
      <c r="K71" s="123">
        <v>463000</v>
      </c>
      <c r="L71" s="29">
        <v>0.264367</v>
      </c>
      <c r="M71" s="30">
        <f t="shared" si="15"/>
        <v>-122401.921</v>
      </c>
      <c r="N71" s="30">
        <f>-SUM(42.63,244.8,5.97)</f>
        <v>-293.40000000000003</v>
      </c>
      <c r="O71" s="67">
        <f t="shared" si="16"/>
        <v>-122695.321</v>
      </c>
      <c r="P71" s="72"/>
    </row>
    <row r="72" spans="2:16" ht="15">
      <c r="B72" s="22" t="s">
        <v>3397</v>
      </c>
      <c r="C72" s="54" t="s">
        <v>3361</v>
      </c>
      <c r="D72" s="91" t="s">
        <v>3362</v>
      </c>
      <c r="E72" s="32" t="s">
        <v>3305</v>
      </c>
      <c r="F72" s="70">
        <v>43804</v>
      </c>
      <c r="G72" s="70">
        <v>43802</v>
      </c>
      <c r="H72" s="32" t="s">
        <v>3317</v>
      </c>
      <c r="I72" s="27" t="s">
        <v>3318</v>
      </c>
      <c r="J72" s="22" t="s">
        <v>3319</v>
      </c>
      <c r="K72" s="123">
        <v>450000</v>
      </c>
      <c r="L72" s="29">
        <v>0.265</v>
      </c>
      <c r="M72" s="30">
        <f t="shared" si="15"/>
        <v>-119250</v>
      </c>
      <c r="N72" s="30">
        <f>-SUM(42.43,238.5,5.94)</f>
        <v>-286.87</v>
      </c>
      <c r="O72" s="67">
        <f t="shared" si="16"/>
        <v>-119536.87</v>
      </c>
      <c r="P72" s="68"/>
    </row>
    <row r="73" spans="2:16" ht="15">
      <c r="B73" s="22" t="s">
        <v>3397</v>
      </c>
      <c r="C73" s="54" t="s">
        <v>3361</v>
      </c>
      <c r="D73" s="91" t="s">
        <v>3362</v>
      </c>
      <c r="E73" s="32" t="s">
        <v>3305</v>
      </c>
      <c r="F73" s="70">
        <v>43809</v>
      </c>
      <c r="G73" s="70">
        <v>43805</v>
      </c>
      <c r="H73" s="32" t="s">
        <v>3317</v>
      </c>
      <c r="I73" s="27" t="s">
        <v>3318</v>
      </c>
      <c r="J73" s="22" t="s">
        <v>3319</v>
      </c>
      <c r="K73" s="123">
        <v>100000</v>
      </c>
      <c r="L73" s="29">
        <v>0.2575</v>
      </c>
      <c r="M73" s="30">
        <f t="shared" si="15"/>
        <v>-25750</v>
      </c>
      <c r="N73" s="30">
        <f>-SUM(42.06,51.5,5.89)</f>
        <v>-99.45</v>
      </c>
      <c r="O73" s="67">
        <f t="shared" si="16"/>
        <v>-25849.45</v>
      </c>
      <c r="P73" s="72"/>
    </row>
    <row r="74" spans="2:16" ht="15">
      <c r="B74" s="22" t="s">
        <v>3397</v>
      </c>
      <c r="C74" s="54" t="s">
        <v>3361</v>
      </c>
      <c r="D74" s="22" t="s">
        <v>3362</v>
      </c>
      <c r="E74" s="32" t="s">
        <v>3305</v>
      </c>
      <c r="F74" s="70">
        <v>43811</v>
      </c>
      <c r="G74" s="70">
        <v>43809</v>
      </c>
      <c r="H74" s="32" t="s">
        <v>3317</v>
      </c>
      <c r="I74" s="27" t="s">
        <v>3318</v>
      </c>
      <c r="J74" s="22" t="s">
        <v>3319</v>
      </c>
      <c r="K74" s="123">
        <v>400000</v>
      </c>
      <c r="L74" s="29">
        <v>0.254388</v>
      </c>
      <c r="M74" s="30">
        <f t="shared" si="15"/>
        <v>-101755.2</v>
      </c>
      <c r="N74" s="30">
        <f>-SUM(42.25+203.51+5.91)</f>
        <v>-251.67</v>
      </c>
      <c r="O74" s="67">
        <f t="shared" si="16"/>
        <v>-102006.87</v>
      </c>
      <c r="P74" s="72"/>
    </row>
    <row r="75" spans="2:16" ht="15">
      <c r="B75" s="22" t="s">
        <v>3397</v>
      </c>
      <c r="C75" s="54" t="s">
        <v>3363</v>
      </c>
      <c r="D75" s="22" t="s">
        <v>3364</v>
      </c>
      <c r="E75" s="32" t="s">
        <v>3305</v>
      </c>
      <c r="F75" s="70">
        <v>43809</v>
      </c>
      <c r="G75" s="70">
        <v>43805</v>
      </c>
      <c r="H75" s="32" t="s">
        <v>3332</v>
      </c>
      <c r="I75" s="27" t="s">
        <v>3333</v>
      </c>
      <c r="J75" s="22" t="s">
        <v>3334</v>
      </c>
      <c r="K75" s="123">
        <v>1100000</v>
      </c>
      <c r="L75" s="29">
        <v>0.45</v>
      </c>
      <c r="M75" s="30">
        <f>-K75*L75</f>
        <v>-495000</v>
      </c>
      <c r="N75" s="30">
        <f>-SUM(42.06,990,5.89,1)</f>
        <v>-1038.95</v>
      </c>
      <c r="O75" s="67">
        <f aca="true" t="shared" si="17" ref="O75:O85">M75+N75</f>
        <v>-496038.95</v>
      </c>
      <c r="P75" s="72"/>
    </row>
    <row r="76" spans="2:16" ht="15">
      <c r="B76" s="22" t="s">
        <v>3397</v>
      </c>
      <c r="C76" s="54" t="s">
        <v>3363</v>
      </c>
      <c r="D76" s="22" t="s">
        <v>3364</v>
      </c>
      <c r="E76" s="32" t="s">
        <v>3305</v>
      </c>
      <c r="F76" s="70">
        <v>43816</v>
      </c>
      <c r="G76" s="70">
        <v>43812</v>
      </c>
      <c r="H76" s="32" t="s">
        <v>3301</v>
      </c>
      <c r="I76" s="27" t="s">
        <v>3302</v>
      </c>
      <c r="J76" s="22" t="s">
        <v>3303</v>
      </c>
      <c r="K76" s="123">
        <v>580000</v>
      </c>
      <c r="L76" s="29">
        <v>0.515</v>
      </c>
      <c r="M76" s="30">
        <f>-K76*L76</f>
        <v>-298700</v>
      </c>
      <c r="N76" s="30">
        <f>-SUM(41.65,597.4,5.83,1)</f>
        <v>-645.88</v>
      </c>
      <c r="O76" s="67">
        <f t="shared" si="17"/>
        <v>-299345.88</v>
      </c>
      <c r="P76" s="72"/>
    </row>
    <row r="77" spans="2:16" ht="15">
      <c r="B77" s="22" t="s">
        <v>3397</v>
      </c>
      <c r="C77" s="54" t="s">
        <v>3369</v>
      </c>
      <c r="D77" s="77" t="s">
        <v>3370</v>
      </c>
      <c r="E77" s="32" t="s">
        <v>3311</v>
      </c>
      <c r="F77" s="70">
        <v>43626</v>
      </c>
      <c r="G77" s="70">
        <v>43622</v>
      </c>
      <c r="H77" s="32" t="s">
        <v>3344</v>
      </c>
      <c r="I77" s="27" t="s">
        <v>3350</v>
      </c>
      <c r="J77" s="22" t="s">
        <v>3306</v>
      </c>
      <c r="K77" s="123">
        <v>483967</v>
      </c>
      <c r="L77" s="29">
        <v>0.63</v>
      </c>
      <c r="M77" s="30">
        <f>-K77*L77</f>
        <v>-304899.21</v>
      </c>
      <c r="N77" s="30">
        <v>-609.8</v>
      </c>
      <c r="O77" s="30">
        <f t="shared" si="17"/>
        <v>-305509.01</v>
      </c>
      <c r="P77" s="68"/>
    </row>
    <row r="78" spans="2:16" ht="15">
      <c r="B78" s="22" t="s">
        <v>3397</v>
      </c>
      <c r="C78" s="54" t="s">
        <v>3369</v>
      </c>
      <c r="D78" s="77" t="s">
        <v>3370</v>
      </c>
      <c r="E78" s="32" t="s">
        <v>3311</v>
      </c>
      <c r="F78" s="70">
        <v>43648</v>
      </c>
      <c r="G78" s="70">
        <v>43644</v>
      </c>
      <c r="H78" s="32" t="s">
        <v>3344</v>
      </c>
      <c r="I78" s="27" t="s">
        <v>3312</v>
      </c>
      <c r="J78" s="22" t="s">
        <v>3313</v>
      </c>
      <c r="K78" s="123">
        <v>414870</v>
      </c>
      <c r="L78" s="29">
        <v>0.63</v>
      </c>
      <c r="M78" s="30">
        <f>-K78*L78</f>
        <v>-261368.1</v>
      </c>
      <c r="N78" s="30">
        <v>-522.74</v>
      </c>
      <c r="O78" s="30">
        <f t="shared" si="17"/>
        <v>-261890.84</v>
      </c>
      <c r="P78" s="68"/>
    </row>
    <row r="79" spans="2:16" ht="25.2">
      <c r="B79" s="22" t="s">
        <v>3397</v>
      </c>
      <c r="C79" s="54" t="s">
        <v>3372</v>
      </c>
      <c r="D79" s="74" t="s">
        <v>3373</v>
      </c>
      <c r="E79" s="32" t="s">
        <v>3311</v>
      </c>
      <c r="F79" s="70">
        <v>43614</v>
      </c>
      <c r="G79" s="70">
        <v>43609</v>
      </c>
      <c r="H79" s="32" t="s">
        <v>3323</v>
      </c>
      <c r="I79" s="27" t="s">
        <v>3326</v>
      </c>
      <c r="J79" s="22" t="s">
        <v>3327</v>
      </c>
      <c r="K79" s="123">
        <v>4993492</v>
      </c>
      <c r="L79" s="29">
        <v>0.0272</v>
      </c>
      <c r="M79" s="30">
        <f>-K79*L79</f>
        <v>-135822.98239999998</v>
      </c>
      <c r="N79" s="30">
        <v>-271.65</v>
      </c>
      <c r="O79" s="30">
        <f t="shared" si="17"/>
        <v>-136094.63239999997</v>
      </c>
      <c r="P79" s="68"/>
    </row>
    <row r="80" spans="2:16" ht="15">
      <c r="B80" s="22" t="s">
        <v>3397</v>
      </c>
      <c r="C80" s="54" t="s">
        <v>3374</v>
      </c>
      <c r="D80" s="77" t="s">
        <v>3375</v>
      </c>
      <c r="E80" s="32" t="s">
        <v>3311</v>
      </c>
      <c r="F80" s="70">
        <v>43740</v>
      </c>
      <c r="G80" s="70">
        <v>43738</v>
      </c>
      <c r="H80" s="32" t="s">
        <v>3301</v>
      </c>
      <c r="I80" s="27" t="s">
        <v>3302</v>
      </c>
      <c r="J80" s="22" t="s">
        <v>3303</v>
      </c>
      <c r="K80" s="123">
        <v>1200000</v>
      </c>
      <c r="L80" s="29">
        <v>0.09</v>
      </c>
      <c r="M80" s="30">
        <f>-(K80*L80)</f>
        <v>-108000</v>
      </c>
      <c r="N80" s="30">
        <f>-SUM(44.32,216,6.21,1)</f>
        <v>-267.53</v>
      </c>
      <c r="O80" s="30">
        <f t="shared" si="17"/>
        <v>-108267.53</v>
      </c>
      <c r="P80" s="68"/>
    </row>
    <row r="81" spans="2:15" ht="15">
      <c r="B81" s="22" t="s">
        <v>3398</v>
      </c>
      <c r="C81" s="54" t="s">
        <v>3343</v>
      </c>
      <c r="D81" s="77" t="s">
        <v>3342</v>
      </c>
      <c r="E81" s="32" t="s">
        <v>3305</v>
      </c>
      <c r="F81" s="70">
        <v>43546</v>
      </c>
      <c r="G81" s="70">
        <v>43550</v>
      </c>
      <c r="H81" s="32" t="s">
        <v>3323</v>
      </c>
      <c r="I81" s="27" t="s">
        <v>3318</v>
      </c>
      <c r="J81" s="114" t="s">
        <v>3319</v>
      </c>
      <c r="K81" s="123">
        <v>1580</v>
      </c>
      <c r="L81" s="95">
        <v>1.25</v>
      </c>
      <c r="M81" s="96">
        <f>-K81*L81</f>
        <v>-1975</v>
      </c>
      <c r="N81" s="96">
        <f>-(3.95)</f>
        <v>-3.95</v>
      </c>
      <c r="O81" s="96">
        <f t="shared" si="17"/>
        <v>-1978.95</v>
      </c>
    </row>
    <row r="82" spans="2:15" ht="15">
      <c r="B82" s="22" t="s">
        <v>3398</v>
      </c>
      <c r="C82" s="54" t="s">
        <v>3343</v>
      </c>
      <c r="D82" s="77" t="s">
        <v>3342</v>
      </c>
      <c r="E82" s="32" t="s">
        <v>3305</v>
      </c>
      <c r="F82" s="70">
        <v>43553</v>
      </c>
      <c r="G82" s="70">
        <v>43557</v>
      </c>
      <c r="H82" s="32" t="s">
        <v>3323</v>
      </c>
      <c r="I82" s="27" t="s">
        <v>3326</v>
      </c>
      <c r="J82" s="114" t="s">
        <v>3327</v>
      </c>
      <c r="K82" s="123">
        <v>4669</v>
      </c>
      <c r="L82" s="95">
        <v>1.319565</v>
      </c>
      <c r="M82" s="96">
        <f>-K82*L82</f>
        <v>-6161.048985</v>
      </c>
      <c r="N82" s="96">
        <f>-(12.32)</f>
        <v>-12.32</v>
      </c>
      <c r="O82" s="96">
        <f t="shared" si="17"/>
        <v>-6173.368985</v>
      </c>
    </row>
    <row r="83" spans="2:15" ht="15">
      <c r="B83" s="22" t="s">
        <v>3398</v>
      </c>
      <c r="C83" s="54" t="s">
        <v>3343</v>
      </c>
      <c r="D83" s="77" t="s">
        <v>3342</v>
      </c>
      <c r="E83" s="32" t="s">
        <v>3305</v>
      </c>
      <c r="F83" s="70">
        <v>43560</v>
      </c>
      <c r="G83" s="70">
        <v>43564</v>
      </c>
      <c r="H83" s="32" t="s">
        <v>3323</v>
      </c>
      <c r="I83" s="27" t="s">
        <v>3326</v>
      </c>
      <c r="J83" s="114" t="s">
        <v>3327</v>
      </c>
      <c r="K83" s="123">
        <v>2842</v>
      </c>
      <c r="L83" s="95">
        <v>1.35</v>
      </c>
      <c r="M83" s="96">
        <f>-K83*L83</f>
        <v>-3836.7000000000003</v>
      </c>
      <c r="N83" s="96">
        <f>-(7.67)</f>
        <v>-7.67</v>
      </c>
      <c r="O83" s="96">
        <f t="shared" si="17"/>
        <v>-3844.3700000000003</v>
      </c>
    </row>
    <row r="84" spans="2:15" ht="15">
      <c r="B84" s="22" t="s">
        <v>3398</v>
      </c>
      <c r="C84" s="54" t="s">
        <v>3343</v>
      </c>
      <c r="D84" s="77" t="s">
        <v>3342</v>
      </c>
      <c r="E84" s="32" t="s">
        <v>3305</v>
      </c>
      <c r="F84" s="70">
        <v>43748</v>
      </c>
      <c r="G84" s="70">
        <v>43752</v>
      </c>
      <c r="H84" s="32" t="s">
        <v>3323</v>
      </c>
      <c r="I84" s="27" t="s">
        <v>3326</v>
      </c>
      <c r="J84" s="114" t="s">
        <v>3327</v>
      </c>
      <c r="K84" s="123">
        <v>76775</v>
      </c>
      <c r="L84" s="95">
        <v>1.1</v>
      </c>
      <c r="M84" s="96">
        <f>-K84*L84</f>
        <v>-84452.5</v>
      </c>
      <c r="N84" s="96">
        <f>-SUM(43.95,168.91,6.15,1)</f>
        <v>-220.01000000000002</v>
      </c>
      <c r="O84" s="96">
        <f t="shared" si="17"/>
        <v>-84672.51</v>
      </c>
    </row>
    <row r="85" spans="2:15" ht="15">
      <c r="B85" s="22" t="s">
        <v>3398</v>
      </c>
      <c r="C85" s="54" t="s">
        <v>3343</v>
      </c>
      <c r="D85" s="77" t="s">
        <v>3342</v>
      </c>
      <c r="E85" s="32" t="s">
        <v>3305</v>
      </c>
      <c r="F85" s="70">
        <v>43755</v>
      </c>
      <c r="G85" s="70">
        <v>43759</v>
      </c>
      <c r="H85" s="27" t="s">
        <v>3312</v>
      </c>
      <c r="I85" s="27" t="s">
        <v>3312</v>
      </c>
      <c r="J85" s="114" t="s">
        <v>3313</v>
      </c>
      <c r="K85" s="123">
        <v>82631</v>
      </c>
      <c r="L85" s="95">
        <v>1.11</v>
      </c>
      <c r="M85" s="96">
        <f>-K85*L85</f>
        <v>-91720.41</v>
      </c>
      <c r="N85" s="96">
        <f>-SUM(43.15,183.44,6.04,1)</f>
        <v>-233.63</v>
      </c>
      <c r="O85" s="96">
        <f t="shared" si="17"/>
        <v>-91954.04000000001</v>
      </c>
    </row>
    <row r="86" spans="2:15" ht="15">
      <c r="B86" s="22" t="s">
        <v>3398</v>
      </c>
      <c r="C86" s="54" t="s">
        <v>3355</v>
      </c>
      <c r="D86" s="77" t="s">
        <v>509</v>
      </c>
      <c r="E86" s="32" t="s">
        <v>3305</v>
      </c>
      <c r="F86" s="70">
        <v>43516</v>
      </c>
      <c r="G86" s="70">
        <v>43518</v>
      </c>
      <c r="H86" s="32" t="s">
        <v>3323</v>
      </c>
      <c r="I86" s="27" t="s">
        <v>3318</v>
      </c>
      <c r="J86" s="114" t="s">
        <v>3319</v>
      </c>
      <c r="K86" s="123">
        <v>157234</v>
      </c>
      <c r="L86" s="95">
        <v>2.2</v>
      </c>
      <c r="M86" s="96">
        <f aca="true" t="shared" si="18" ref="M86:M95">-K86*L86</f>
        <v>-345914.80000000005</v>
      </c>
      <c r="N86" s="96">
        <f>-(691.83+1)</f>
        <v>-692.83</v>
      </c>
      <c r="O86" s="96">
        <f aca="true" t="shared" si="19" ref="O86:O93">M86+N86</f>
        <v>-346607.63000000006</v>
      </c>
    </row>
    <row r="87" spans="2:15" ht="15">
      <c r="B87" s="22" t="s">
        <v>3398</v>
      </c>
      <c r="C87" s="54" t="s">
        <v>3355</v>
      </c>
      <c r="D87" s="77" t="s">
        <v>509</v>
      </c>
      <c r="E87" s="32" t="s">
        <v>11</v>
      </c>
      <c r="F87" s="70">
        <v>43661</v>
      </c>
      <c r="G87" s="70">
        <v>43663</v>
      </c>
      <c r="H87" s="32" t="s">
        <v>3301</v>
      </c>
      <c r="I87" s="27" t="s">
        <v>3302</v>
      </c>
      <c r="J87" s="57" t="s">
        <v>3303</v>
      </c>
      <c r="K87" s="123">
        <v>217485</v>
      </c>
      <c r="L87" s="95">
        <v>3.25</v>
      </c>
      <c r="M87" s="96">
        <f t="shared" si="18"/>
        <v>-706826.25</v>
      </c>
      <c r="N87" s="96">
        <f>-1413.65-1</f>
        <v>-1414.65</v>
      </c>
      <c r="O87" s="96">
        <f t="shared" si="19"/>
        <v>-708240.9</v>
      </c>
    </row>
    <row r="88" spans="2:17" ht="25.2">
      <c r="B88" s="22" t="s">
        <v>3398</v>
      </c>
      <c r="C88" s="54" t="s">
        <v>3355</v>
      </c>
      <c r="D88" s="74" t="s">
        <v>509</v>
      </c>
      <c r="E88" s="32" t="s">
        <v>11</v>
      </c>
      <c r="F88" s="70">
        <v>43714</v>
      </c>
      <c r="G88" s="70">
        <v>43718</v>
      </c>
      <c r="H88" s="32" t="s">
        <v>3301</v>
      </c>
      <c r="I88" s="27" t="s">
        <v>3302</v>
      </c>
      <c r="J88" s="57" t="s">
        <v>3303</v>
      </c>
      <c r="K88" s="123">
        <v>9361</v>
      </c>
      <c r="L88" s="117">
        <v>3.3265624</v>
      </c>
      <c r="M88" s="96">
        <f t="shared" si="18"/>
        <v>-31139.950626399997</v>
      </c>
      <c r="N88" s="96">
        <f>-SUM(44.69,62.28,6.26,1)</f>
        <v>-114.23</v>
      </c>
      <c r="O88" s="96">
        <f t="shared" si="19"/>
        <v>-31254.180626399997</v>
      </c>
      <c r="Q88" s="118"/>
    </row>
    <row r="89" spans="2:15" ht="15">
      <c r="B89" s="22" t="s">
        <v>3398</v>
      </c>
      <c r="C89" s="54" t="s">
        <v>3355</v>
      </c>
      <c r="D89" s="77" t="s">
        <v>509</v>
      </c>
      <c r="E89" s="32" t="s">
        <v>3311</v>
      </c>
      <c r="F89" s="70">
        <v>43796</v>
      </c>
      <c r="G89" s="119">
        <v>43798</v>
      </c>
      <c r="H89" s="32" t="s">
        <v>3301</v>
      </c>
      <c r="I89" s="27" t="s">
        <v>3302</v>
      </c>
      <c r="J89" s="57" t="s">
        <v>3303</v>
      </c>
      <c r="K89" s="123">
        <v>33105</v>
      </c>
      <c r="L89" s="95">
        <v>3.205</v>
      </c>
      <c r="M89" s="96">
        <f t="shared" si="18"/>
        <v>-106101.52500000001</v>
      </c>
      <c r="N89" s="96">
        <f>-SUM(42.57,212.2,5.96,1)</f>
        <v>-261.72999999999996</v>
      </c>
      <c r="O89" s="96">
        <f t="shared" si="19"/>
        <v>-106363.255</v>
      </c>
    </row>
    <row r="90" spans="2:15" ht="15">
      <c r="B90" s="22" t="s">
        <v>3398</v>
      </c>
      <c r="C90" s="54" t="s">
        <v>3355</v>
      </c>
      <c r="D90" s="77" t="s">
        <v>509</v>
      </c>
      <c r="E90" s="32" t="s">
        <v>3311</v>
      </c>
      <c r="F90" s="70">
        <v>43797</v>
      </c>
      <c r="G90" s="119">
        <v>43801</v>
      </c>
      <c r="H90" s="32" t="s">
        <v>3301</v>
      </c>
      <c r="I90" s="27" t="s">
        <v>3302</v>
      </c>
      <c r="J90" s="57" t="s">
        <v>3303</v>
      </c>
      <c r="K90" s="123">
        <v>64792</v>
      </c>
      <c r="L90" s="95">
        <v>3.205</v>
      </c>
      <c r="M90" s="96">
        <f t="shared" si="18"/>
        <v>-207658.36000000002</v>
      </c>
      <c r="N90" s="96">
        <f>-SUM(42.65,415.32,5.97,1)</f>
        <v>-464.94</v>
      </c>
      <c r="O90" s="96">
        <f t="shared" si="19"/>
        <v>-208123.30000000002</v>
      </c>
    </row>
    <row r="91" spans="2:15" ht="15">
      <c r="B91" s="22" t="s">
        <v>3398</v>
      </c>
      <c r="C91" s="54" t="s">
        <v>3355</v>
      </c>
      <c r="D91" s="77" t="s">
        <v>509</v>
      </c>
      <c r="E91" s="32" t="s">
        <v>3311</v>
      </c>
      <c r="F91" s="70">
        <v>43803</v>
      </c>
      <c r="G91" s="119">
        <v>43805</v>
      </c>
      <c r="H91" s="32" t="s">
        <v>3301</v>
      </c>
      <c r="I91" s="27" t="s">
        <v>3302</v>
      </c>
      <c r="J91" s="57" t="s">
        <v>3303</v>
      </c>
      <c r="K91" s="123">
        <v>46941</v>
      </c>
      <c r="L91" s="95">
        <v>3.2351</v>
      </c>
      <c r="M91" s="96">
        <f t="shared" si="18"/>
        <v>-151858.8291</v>
      </c>
      <c r="N91" s="96">
        <f>-SUM(42.24,303.72,5.91,1)</f>
        <v>-352.87000000000006</v>
      </c>
      <c r="O91" s="96">
        <f t="shared" si="19"/>
        <v>-152211.6991</v>
      </c>
    </row>
    <row r="92" spans="2:15" ht="15">
      <c r="B92" s="22" t="s">
        <v>3398</v>
      </c>
      <c r="C92" s="54" t="s">
        <v>3355</v>
      </c>
      <c r="D92" s="77" t="s">
        <v>509</v>
      </c>
      <c r="E92" s="32" t="s">
        <v>3311</v>
      </c>
      <c r="F92" s="70">
        <v>43808</v>
      </c>
      <c r="G92" s="119">
        <v>43810</v>
      </c>
      <c r="H92" s="32" t="s">
        <v>3317</v>
      </c>
      <c r="I92" s="27" t="s">
        <v>3318</v>
      </c>
      <c r="J92" s="57" t="s">
        <v>3319</v>
      </c>
      <c r="K92" s="123">
        <v>7212</v>
      </c>
      <c r="L92" s="95">
        <v>3.24</v>
      </c>
      <c r="M92" s="96">
        <f t="shared" si="18"/>
        <v>-23366.88</v>
      </c>
      <c r="N92" s="96">
        <f>-SUM(42.25,46.73,5.91,1)</f>
        <v>-95.88999999999999</v>
      </c>
      <c r="O92" s="96">
        <f t="shared" si="19"/>
        <v>-23462.77</v>
      </c>
    </row>
    <row r="93" spans="2:15" ht="15">
      <c r="B93" s="22" t="s">
        <v>3398</v>
      </c>
      <c r="C93" s="54" t="s">
        <v>3355</v>
      </c>
      <c r="D93" s="91" t="s">
        <v>509</v>
      </c>
      <c r="E93" s="32" t="s">
        <v>3311</v>
      </c>
      <c r="F93" s="70">
        <v>43811</v>
      </c>
      <c r="G93" s="70">
        <v>43815</v>
      </c>
      <c r="H93" s="32" t="s">
        <v>3301</v>
      </c>
      <c r="I93" s="27" t="s">
        <v>3302</v>
      </c>
      <c r="J93" s="57" t="s">
        <v>3303</v>
      </c>
      <c r="K93" s="123">
        <v>11017</v>
      </c>
      <c r="L93" s="95">
        <v>3.24</v>
      </c>
      <c r="M93" s="96">
        <f t="shared" si="18"/>
        <v>-35695.08</v>
      </c>
      <c r="N93" s="96">
        <f>-SUM(41.67,71.39,5.83,1)</f>
        <v>-119.89</v>
      </c>
      <c r="O93" s="96">
        <f t="shared" si="19"/>
        <v>-35814.97</v>
      </c>
    </row>
    <row r="94" spans="2:15" ht="15">
      <c r="B94" s="22" t="s">
        <v>3398</v>
      </c>
      <c r="C94" s="54" t="s">
        <v>3355</v>
      </c>
      <c r="D94" s="91" t="s">
        <v>509</v>
      </c>
      <c r="E94" s="32" t="s">
        <v>3311</v>
      </c>
      <c r="F94" s="70">
        <v>43817</v>
      </c>
      <c r="G94" s="70">
        <v>43819</v>
      </c>
      <c r="H94" s="32" t="s">
        <v>3301</v>
      </c>
      <c r="I94" s="27" t="s">
        <v>3302</v>
      </c>
      <c r="J94" s="57" t="s">
        <v>3303</v>
      </c>
      <c r="K94" s="123">
        <v>32812</v>
      </c>
      <c r="L94" s="95">
        <v>3.14</v>
      </c>
      <c r="M94" s="96">
        <f t="shared" si="18"/>
        <v>-103029.68000000001</v>
      </c>
      <c r="N94" s="96">
        <f>42.6+206.06+5.96+1</f>
        <v>255.62</v>
      </c>
      <c r="O94" s="96">
        <f>M94-N94</f>
        <v>-103285.3</v>
      </c>
    </row>
    <row r="95" spans="2:15" ht="15">
      <c r="B95" s="22" t="s">
        <v>3398</v>
      </c>
      <c r="C95" s="54" t="s">
        <v>3355</v>
      </c>
      <c r="D95" s="91" t="s">
        <v>509</v>
      </c>
      <c r="E95" s="32" t="s">
        <v>3311</v>
      </c>
      <c r="F95" s="70">
        <v>43818</v>
      </c>
      <c r="G95" s="70">
        <v>43822</v>
      </c>
      <c r="H95" s="32" t="s">
        <v>3301</v>
      </c>
      <c r="I95" s="27" t="s">
        <v>3302</v>
      </c>
      <c r="J95" s="57" t="s">
        <v>3303</v>
      </c>
      <c r="K95" s="123">
        <v>82855</v>
      </c>
      <c r="L95" s="95">
        <v>3.14</v>
      </c>
      <c r="M95" s="96">
        <f t="shared" si="18"/>
        <v>-260164.7</v>
      </c>
      <c r="N95" s="96">
        <f>520.33+42.55+5.96+1</f>
        <v>569.84</v>
      </c>
      <c r="O95" s="96">
        <f>M95-N95</f>
        <v>-260734.54</v>
      </c>
    </row>
    <row r="96" spans="2:16" ht="25.2">
      <c r="B96" s="22" t="s">
        <v>3398</v>
      </c>
      <c r="C96" s="54" t="s">
        <v>3392</v>
      </c>
      <c r="D96" s="74" t="s">
        <v>3357</v>
      </c>
      <c r="E96" s="32" t="s">
        <v>3305</v>
      </c>
      <c r="F96" s="70" t="s">
        <v>3393</v>
      </c>
      <c r="G96" s="70">
        <v>43515</v>
      </c>
      <c r="H96" s="32" t="s">
        <v>3323</v>
      </c>
      <c r="I96" s="27" t="s">
        <v>3326</v>
      </c>
      <c r="J96" s="114" t="s">
        <v>3327</v>
      </c>
      <c r="K96" s="123">
        <v>1144979</v>
      </c>
      <c r="L96" s="95">
        <v>0.01</v>
      </c>
      <c r="M96" s="96">
        <f aca="true" t="shared" si="20" ref="M96:M103">-K96*L96</f>
        <v>-11449.79</v>
      </c>
      <c r="N96" s="96">
        <f>-(22.9+1)</f>
        <v>-23.9</v>
      </c>
      <c r="O96" s="96">
        <f aca="true" t="shared" si="21" ref="O96:O103">M96+N96</f>
        <v>-11473.69</v>
      </c>
      <c r="P96" s="121"/>
    </row>
    <row r="97" spans="2:16" ht="25.2">
      <c r="B97" s="22" t="s">
        <v>3398</v>
      </c>
      <c r="C97" s="54" t="s">
        <v>3392</v>
      </c>
      <c r="D97" s="74" t="s">
        <v>3357</v>
      </c>
      <c r="E97" s="32" t="s">
        <v>3305</v>
      </c>
      <c r="F97" s="70">
        <v>43525</v>
      </c>
      <c r="G97" s="70">
        <v>43529</v>
      </c>
      <c r="H97" s="32" t="s">
        <v>3323</v>
      </c>
      <c r="I97" s="27" t="s">
        <v>3318</v>
      </c>
      <c r="J97" s="114" t="s">
        <v>3319</v>
      </c>
      <c r="K97" s="123">
        <v>623164</v>
      </c>
      <c r="L97" s="95">
        <v>0.01</v>
      </c>
      <c r="M97" s="96">
        <f t="shared" si="20"/>
        <v>-6231.64</v>
      </c>
      <c r="N97" s="96">
        <f>-(12.46+1)</f>
        <v>-13.46</v>
      </c>
      <c r="O97" s="96">
        <f t="shared" si="21"/>
        <v>-6245.1</v>
      </c>
      <c r="P97" s="121"/>
    </row>
    <row r="98" spans="2:15" ht="25.2">
      <c r="B98" s="22" t="s">
        <v>3398</v>
      </c>
      <c r="C98" s="54" t="s">
        <v>3392</v>
      </c>
      <c r="D98" s="74" t="s">
        <v>3357</v>
      </c>
      <c r="E98" s="32" t="s">
        <v>3305</v>
      </c>
      <c r="F98" s="70">
        <v>43532</v>
      </c>
      <c r="G98" s="70">
        <v>43536</v>
      </c>
      <c r="H98" s="32" t="s">
        <v>3323</v>
      </c>
      <c r="I98" s="27" t="s">
        <v>3326</v>
      </c>
      <c r="J98" s="114" t="s">
        <v>3327</v>
      </c>
      <c r="K98" s="123">
        <v>4525571</v>
      </c>
      <c r="L98" s="95">
        <v>0.0105</v>
      </c>
      <c r="M98" s="96">
        <f t="shared" si="20"/>
        <v>-47518.495500000005</v>
      </c>
      <c r="N98" s="96">
        <f>-(95.04+1)</f>
        <v>-96.04</v>
      </c>
      <c r="O98" s="96">
        <f t="shared" si="21"/>
        <v>-47614.535500000005</v>
      </c>
    </row>
    <row r="99" spans="2:15" ht="25.2">
      <c r="B99" s="22" t="s">
        <v>3398</v>
      </c>
      <c r="C99" s="54" t="s">
        <v>3392</v>
      </c>
      <c r="D99" s="74" t="s">
        <v>3357</v>
      </c>
      <c r="E99" s="32" t="s">
        <v>3305</v>
      </c>
      <c r="F99" s="70">
        <v>43539</v>
      </c>
      <c r="G99" s="70">
        <v>43543</v>
      </c>
      <c r="H99" s="32" t="s">
        <v>3323</v>
      </c>
      <c r="I99" s="27" t="s">
        <v>3326</v>
      </c>
      <c r="J99" s="114" t="s">
        <v>3327</v>
      </c>
      <c r="K99" s="123">
        <v>205401</v>
      </c>
      <c r="L99" s="95">
        <v>0.0105</v>
      </c>
      <c r="M99" s="96">
        <f t="shared" si="20"/>
        <v>-2156.7105</v>
      </c>
      <c r="N99" s="96">
        <f>-(4.31+1)</f>
        <v>-5.31</v>
      </c>
      <c r="O99" s="96">
        <f t="shared" si="21"/>
        <v>-2162.0205</v>
      </c>
    </row>
    <row r="100" spans="2:16" ht="25.2">
      <c r="B100" s="22" t="s">
        <v>3398</v>
      </c>
      <c r="C100" s="54" t="s">
        <v>3392</v>
      </c>
      <c r="D100" s="74" t="s">
        <v>3357</v>
      </c>
      <c r="E100" s="32" t="s">
        <v>3305</v>
      </c>
      <c r="F100" s="70">
        <v>43539</v>
      </c>
      <c r="G100" s="70">
        <v>43543</v>
      </c>
      <c r="H100" s="32" t="s">
        <v>3323</v>
      </c>
      <c r="I100" s="27" t="s">
        <v>3318</v>
      </c>
      <c r="J100" s="114" t="s">
        <v>3319</v>
      </c>
      <c r="K100" s="123">
        <v>232788</v>
      </c>
      <c r="L100" s="95">
        <v>0.01028</v>
      </c>
      <c r="M100" s="96">
        <f t="shared" si="20"/>
        <v>-2393.0606399999997</v>
      </c>
      <c r="N100" s="96">
        <f>-(4.79+1)</f>
        <v>-5.79</v>
      </c>
      <c r="O100" s="96">
        <f t="shared" si="21"/>
        <v>-2398.8506399999997</v>
      </c>
      <c r="P100" s="121"/>
    </row>
    <row r="101" spans="2:15" ht="25.2">
      <c r="B101" s="22" t="s">
        <v>3398</v>
      </c>
      <c r="C101" s="54" t="s">
        <v>3392</v>
      </c>
      <c r="D101" s="74" t="s">
        <v>3357</v>
      </c>
      <c r="E101" s="32" t="s">
        <v>3305</v>
      </c>
      <c r="F101" s="70">
        <v>43543</v>
      </c>
      <c r="G101" s="70">
        <v>43545</v>
      </c>
      <c r="H101" s="32" t="s">
        <v>3323</v>
      </c>
      <c r="I101" s="27" t="s">
        <v>3318</v>
      </c>
      <c r="J101" s="114" t="s">
        <v>3319</v>
      </c>
      <c r="K101" s="123">
        <v>690173</v>
      </c>
      <c r="L101" s="95">
        <v>0.011452</v>
      </c>
      <c r="M101" s="96">
        <f t="shared" si="20"/>
        <v>-7903.861196</v>
      </c>
      <c r="N101" s="96">
        <f>-(15.81+0)</f>
        <v>-15.81</v>
      </c>
      <c r="O101" s="96">
        <f t="shared" si="21"/>
        <v>-7919.671196</v>
      </c>
    </row>
    <row r="102" spans="2:15" ht="25.2">
      <c r="B102" s="22" t="s">
        <v>3398</v>
      </c>
      <c r="C102" s="54" t="s">
        <v>3392</v>
      </c>
      <c r="D102" s="74" t="s">
        <v>3357</v>
      </c>
      <c r="E102" s="32" t="s">
        <v>3305</v>
      </c>
      <c r="F102" s="70">
        <v>43553</v>
      </c>
      <c r="G102" s="70">
        <v>43557</v>
      </c>
      <c r="H102" s="32" t="s">
        <v>3323</v>
      </c>
      <c r="I102" s="27" t="s">
        <v>3326</v>
      </c>
      <c r="J102" s="114" t="s">
        <v>3327</v>
      </c>
      <c r="K102" s="123">
        <v>725849</v>
      </c>
      <c r="L102" s="95">
        <v>0.0115</v>
      </c>
      <c r="M102" s="96">
        <f t="shared" si="20"/>
        <v>-8347.2635</v>
      </c>
      <c r="N102" s="96">
        <f>-(16.69+0)</f>
        <v>-16.69</v>
      </c>
      <c r="O102" s="96">
        <f t="shared" si="21"/>
        <v>-8363.9535</v>
      </c>
    </row>
    <row r="103" spans="2:15" ht="25.2">
      <c r="B103" s="22" t="s">
        <v>3398</v>
      </c>
      <c r="C103" s="54" t="s">
        <v>3392</v>
      </c>
      <c r="D103" s="74" t="s">
        <v>3357</v>
      </c>
      <c r="E103" s="32" t="s">
        <v>3305</v>
      </c>
      <c r="F103" s="70">
        <v>43557</v>
      </c>
      <c r="G103" s="70">
        <v>43559</v>
      </c>
      <c r="H103" s="32" t="s">
        <v>3323</v>
      </c>
      <c r="I103" s="27" t="s">
        <v>3326</v>
      </c>
      <c r="J103" s="114" t="s">
        <v>3327</v>
      </c>
      <c r="K103" s="123">
        <v>302384</v>
      </c>
      <c r="L103" s="95">
        <v>0.0115</v>
      </c>
      <c r="M103" s="96">
        <f t="shared" si="20"/>
        <v>-3477.416</v>
      </c>
      <c r="N103" s="96">
        <f>-(6.95+0)</f>
        <v>-6.95</v>
      </c>
      <c r="O103" s="96">
        <f t="shared" si="21"/>
        <v>-3484.366</v>
      </c>
    </row>
    <row r="104" spans="2:15" ht="15">
      <c r="B104" s="22" t="s">
        <v>3398</v>
      </c>
      <c r="C104" s="77" t="s">
        <v>3394</v>
      </c>
      <c r="D104" s="77" t="s">
        <v>3360</v>
      </c>
      <c r="E104" s="32" t="s">
        <v>3305</v>
      </c>
      <c r="F104" s="70">
        <v>43546</v>
      </c>
      <c r="G104" s="70">
        <v>43550</v>
      </c>
      <c r="H104" s="32" t="s">
        <v>3323</v>
      </c>
      <c r="I104" s="27" t="s">
        <v>3318</v>
      </c>
      <c r="J104" s="114" t="s">
        <v>3319</v>
      </c>
      <c r="K104" s="123">
        <v>239506</v>
      </c>
      <c r="L104" s="95">
        <v>0.8</v>
      </c>
      <c r="M104" s="96">
        <f>-K104*L104</f>
        <v>-191604.80000000002</v>
      </c>
      <c r="N104" s="96">
        <f>-(383.21+1)</f>
        <v>-384.21</v>
      </c>
      <c r="O104" s="96">
        <f>M104+N104</f>
        <v>-191989.01</v>
      </c>
    </row>
    <row r="105" spans="2:15" ht="15">
      <c r="B105" s="22" t="s">
        <v>3398</v>
      </c>
      <c r="C105" s="77" t="s">
        <v>3394</v>
      </c>
      <c r="D105" s="77" t="s">
        <v>3360</v>
      </c>
      <c r="E105" s="32" t="s">
        <v>3305</v>
      </c>
      <c r="F105" s="70">
        <v>43584</v>
      </c>
      <c r="G105" s="70">
        <v>43586</v>
      </c>
      <c r="H105" s="32" t="s">
        <v>3323</v>
      </c>
      <c r="I105" s="27" t="s">
        <v>3318</v>
      </c>
      <c r="J105" s="114" t="s">
        <v>3319</v>
      </c>
      <c r="K105" s="123">
        <v>497622</v>
      </c>
      <c r="L105" s="95">
        <v>0.84</v>
      </c>
      <c r="M105" s="96">
        <f>-K105*L105</f>
        <v>-418002.48</v>
      </c>
      <c r="N105" s="96">
        <f>-(836.01+1)</f>
        <v>-837.01</v>
      </c>
      <c r="O105" s="96">
        <f>M105+N105</f>
        <v>-418839.49</v>
      </c>
    </row>
    <row r="106" spans="2:15" ht="15">
      <c r="B106" s="22" t="s">
        <v>3398</v>
      </c>
      <c r="C106" s="54" t="s">
        <v>3335</v>
      </c>
      <c r="D106" s="91" t="s">
        <v>3329</v>
      </c>
      <c r="E106" s="32" t="s">
        <v>3305</v>
      </c>
      <c r="F106" s="70">
        <v>43811</v>
      </c>
      <c r="G106" s="70">
        <v>43815</v>
      </c>
      <c r="H106" s="32" t="s">
        <v>119</v>
      </c>
      <c r="I106" s="27" t="s">
        <v>3395</v>
      </c>
      <c r="J106" s="57" t="s">
        <v>3334</v>
      </c>
      <c r="K106" s="123">
        <v>1485052</v>
      </c>
      <c r="L106" s="95">
        <v>0.355</v>
      </c>
      <c r="M106" s="96">
        <f>-K106*L106</f>
        <v>-527193.46</v>
      </c>
      <c r="N106" s="96">
        <f>-SUM(41.67,1054.39,5.83,2642.24)</f>
        <v>-3744.13</v>
      </c>
      <c r="O106" s="96">
        <f>M106+N106</f>
        <v>-530937.59</v>
      </c>
    </row>
    <row r="107" spans="2:15" ht="15">
      <c r="B107" s="22" t="s">
        <v>3398</v>
      </c>
      <c r="C107" s="54" t="s">
        <v>3335</v>
      </c>
      <c r="D107" s="91" t="s">
        <v>3329</v>
      </c>
      <c r="E107" s="32" t="s">
        <v>3305</v>
      </c>
      <c r="F107" s="70">
        <v>43811</v>
      </c>
      <c r="G107" s="70">
        <v>43815</v>
      </c>
      <c r="H107" s="32" t="s">
        <v>119</v>
      </c>
      <c r="I107" s="27" t="s">
        <v>3395</v>
      </c>
      <c r="J107" s="57" t="s">
        <v>3334</v>
      </c>
      <c r="K107" s="123">
        <v>63095</v>
      </c>
      <c r="L107" s="95">
        <v>0.355</v>
      </c>
      <c r="M107" s="96">
        <f>-K107*L107</f>
        <v>-22398.725</v>
      </c>
      <c r="N107" s="96">
        <f>44.8+113.22+42.55+5.96</f>
        <v>206.53</v>
      </c>
      <c r="O107" s="96">
        <f>M107-N107</f>
        <v>-22605.254999999997</v>
      </c>
    </row>
  </sheetData>
  <autoFilter ref="C5:P107"/>
  <hyperlinks>
    <hyperlink ref="J85" r:id="rId1" display="mailto:settlements@shorecap.co.uk"/>
    <hyperlink ref="J92" r:id="rId2" display="mailto:ops@NPlus1Singer.com"/>
    <hyperlink ref="J106" r:id="rId3" display="mailto:middleoffice@numis.com"/>
    <hyperlink ref="J107" r:id="rId4" display="mailto:middleoffice@numis.com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BEFC-24B3-496E-BFBF-5E0C83B641ED}">
  <dimension ref="B6:S60"/>
  <sheetViews>
    <sheetView workbookViewId="0" topLeftCell="A1">
      <selection activeCell="B6" sqref="B6"/>
    </sheetView>
  </sheetViews>
  <sheetFormatPr defaultColWidth="9.140625" defaultRowHeight="15"/>
  <cols>
    <col min="5" max="5" width="23.28125" style="0" bestFit="1" customWidth="1"/>
    <col min="8" max="8" width="12.421875" style="0" bestFit="1" customWidth="1"/>
    <col min="9" max="9" width="10.421875" style="0" bestFit="1" customWidth="1"/>
    <col min="10" max="10" width="10.57421875" style="0" bestFit="1" customWidth="1"/>
  </cols>
  <sheetData>
    <row r="6" spans="2:19" ht="57.6">
      <c r="B6" s="128" t="s">
        <v>53</v>
      </c>
      <c r="C6" s="128" t="s">
        <v>3404</v>
      </c>
      <c r="D6" s="129" t="s">
        <v>3405</v>
      </c>
      <c r="E6" s="130" t="s">
        <v>3406</v>
      </c>
      <c r="F6" s="131" t="s">
        <v>3399</v>
      </c>
      <c r="G6" s="132" t="s">
        <v>3407</v>
      </c>
      <c r="H6" s="130" t="s">
        <v>3423</v>
      </c>
      <c r="I6" s="132" t="s">
        <v>3424</v>
      </c>
      <c r="J6" s="132" t="s">
        <v>3288</v>
      </c>
      <c r="K6" s="135" t="s">
        <v>3425</v>
      </c>
      <c r="L6" s="135" t="s">
        <v>3426</v>
      </c>
      <c r="M6" s="128" t="s">
        <v>3427</v>
      </c>
      <c r="N6" s="136" t="s">
        <v>3428</v>
      </c>
      <c r="O6" s="137" t="s">
        <v>3429</v>
      </c>
      <c r="P6" s="135" t="s">
        <v>3430</v>
      </c>
      <c r="Q6" s="137" t="s">
        <v>3431</v>
      </c>
      <c r="R6" s="137" t="s">
        <v>3432</v>
      </c>
      <c r="S6" s="138" t="s">
        <v>3433</v>
      </c>
    </row>
    <row r="7" spans="2:19" ht="15">
      <c r="B7" t="s">
        <v>3377</v>
      </c>
      <c r="C7" s="133">
        <v>1</v>
      </c>
      <c r="D7" s="133">
        <v>100039</v>
      </c>
      <c r="E7" s="134" t="s">
        <v>3408</v>
      </c>
      <c r="F7" s="133" t="s">
        <v>3409</v>
      </c>
      <c r="G7" s="134" t="s">
        <v>3410</v>
      </c>
      <c r="H7" s="134" t="s">
        <v>3434</v>
      </c>
      <c r="I7" s="139">
        <v>43497</v>
      </c>
      <c r="J7" s="139">
        <v>43501</v>
      </c>
      <c r="K7" s="139" t="s">
        <v>3435</v>
      </c>
      <c r="L7" s="139" t="s">
        <v>3436</v>
      </c>
      <c r="M7" s="140">
        <v>144000</v>
      </c>
      <c r="N7" s="140">
        <v>144000</v>
      </c>
      <c r="O7" s="141">
        <v>1</v>
      </c>
      <c r="P7" s="140">
        <v>144000</v>
      </c>
      <c r="Q7" s="141" t="s">
        <v>3437</v>
      </c>
      <c r="R7" s="142" t="s">
        <v>3437</v>
      </c>
      <c r="S7" s="140" t="s">
        <v>3437</v>
      </c>
    </row>
    <row r="8" spans="2:19" ht="15">
      <c r="B8" t="s">
        <v>23</v>
      </c>
      <c r="C8" s="133">
        <v>2</v>
      </c>
      <c r="D8" s="133">
        <v>100051</v>
      </c>
      <c r="E8" s="134" t="s">
        <v>3411</v>
      </c>
      <c r="F8" s="133" t="s">
        <v>3409</v>
      </c>
      <c r="G8" s="134" t="s">
        <v>3410</v>
      </c>
      <c r="H8" s="134" t="s">
        <v>3434</v>
      </c>
      <c r="I8" s="139">
        <v>43542</v>
      </c>
      <c r="J8" s="139">
        <v>43544</v>
      </c>
      <c r="K8" s="139" t="s">
        <v>3435</v>
      </c>
      <c r="L8" s="139" t="s">
        <v>3436</v>
      </c>
      <c r="M8" s="140">
        <v>1855325</v>
      </c>
      <c r="N8" s="140">
        <v>1410047</v>
      </c>
      <c r="O8" s="141">
        <v>0.76</v>
      </c>
      <c r="P8" s="140">
        <v>1410047</v>
      </c>
      <c r="Q8" s="141" t="s">
        <v>3437</v>
      </c>
      <c r="R8" s="142" t="s">
        <v>3437</v>
      </c>
      <c r="S8" s="140" t="s">
        <v>3437</v>
      </c>
    </row>
    <row r="9" spans="2:19" ht="15">
      <c r="B9" t="s">
        <v>3441</v>
      </c>
      <c r="C9" s="133">
        <v>3</v>
      </c>
      <c r="D9" s="133">
        <v>100022</v>
      </c>
      <c r="E9" s="134" t="s">
        <v>3412</v>
      </c>
      <c r="F9" s="133" t="s">
        <v>3409</v>
      </c>
      <c r="G9" s="134" t="s">
        <v>3410</v>
      </c>
      <c r="H9" s="134" t="s">
        <v>3434</v>
      </c>
      <c r="I9" s="139">
        <v>43586</v>
      </c>
      <c r="J9" s="139">
        <v>43588</v>
      </c>
      <c r="K9" s="139" t="s">
        <v>3438</v>
      </c>
      <c r="L9" s="139" t="s">
        <v>3439</v>
      </c>
      <c r="M9" s="140">
        <v>9900</v>
      </c>
      <c r="N9" s="140">
        <v>-25946.04</v>
      </c>
      <c r="O9" s="141">
        <v>2.620812121212121</v>
      </c>
      <c r="P9" s="140">
        <v>-395207</v>
      </c>
      <c r="Q9" s="141">
        <v>39.91989898989899</v>
      </c>
      <c r="R9" s="142">
        <v>15.231881242763828</v>
      </c>
      <c r="S9" s="140">
        <v>369260.96</v>
      </c>
    </row>
    <row r="10" spans="2:19" ht="15">
      <c r="B10" t="s">
        <v>3442</v>
      </c>
      <c r="C10" s="133">
        <v>4</v>
      </c>
      <c r="D10" s="133">
        <v>100022</v>
      </c>
      <c r="E10" s="134" t="s">
        <v>3412</v>
      </c>
      <c r="F10" s="133" t="s">
        <v>3409</v>
      </c>
      <c r="G10" s="134" t="s">
        <v>3410</v>
      </c>
      <c r="H10" s="134" t="s">
        <v>3434</v>
      </c>
      <c r="I10" s="139">
        <v>43602</v>
      </c>
      <c r="J10" s="139">
        <v>43606</v>
      </c>
      <c r="K10" s="139" t="s">
        <v>3438</v>
      </c>
      <c r="L10" s="139" t="s">
        <v>3439</v>
      </c>
      <c r="M10" s="140">
        <v>11250</v>
      </c>
      <c r="N10" s="140">
        <v>-29484.13</v>
      </c>
      <c r="O10" s="141">
        <v>2.6208115555555556</v>
      </c>
      <c r="P10" s="140">
        <v>-439555.62</v>
      </c>
      <c r="Q10" s="141">
        <v>39.071610666666665</v>
      </c>
      <c r="R10" s="142">
        <v>14.908210620425292</v>
      </c>
      <c r="S10" s="140">
        <v>410071.49</v>
      </c>
    </row>
    <row r="11" spans="2:19" ht="15">
      <c r="B11" t="s">
        <v>3442</v>
      </c>
      <c r="C11" s="133">
        <v>5</v>
      </c>
      <c r="D11" s="133">
        <v>100022</v>
      </c>
      <c r="E11" s="134" t="s">
        <v>3412</v>
      </c>
      <c r="F11" s="133" t="s">
        <v>3409</v>
      </c>
      <c r="G11" s="134" t="s">
        <v>3410</v>
      </c>
      <c r="H11" s="134" t="s">
        <v>3434</v>
      </c>
      <c r="I11" s="139">
        <v>43605</v>
      </c>
      <c r="J11" s="139">
        <v>43607</v>
      </c>
      <c r="K11" s="139" t="s">
        <v>3438</v>
      </c>
      <c r="L11" s="139" t="s">
        <v>3439</v>
      </c>
      <c r="M11" s="140">
        <v>18000</v>
      </c>
      <c r="N11" s="140">
        <v>-47174.61</v>
      </c>
      <c r="O11" s="141">
        <v>2.6208116666666665</v>
      </c>
      <c r="P11" s="140">
        <v>-703289.6</v>
      </c>
      <c r="Q11" s="141">
        <v>39.071644444444445</v>
      </c>
      <c r="R11" s="142">
        <v>14.90822287667031</v>
      </c>
      <c r="S11" s="140">
        <v>656114.99</v>
      </c>
    </row>
    <row r="12" spans="2:19" ht="15">
      <c r="B12" t="s">
        <v>3443</v>
      </c>
      <c r="C12" s="133">
        <v>6</v>
      </c>
      <c r="D12" s="133">
        <v>100042</v>
      </c>
      <c r="E12" s="134" t="s">
        <v>3413</v>
      </c>
      <c r="F12" s="133" t="s">
        <v>3409</v>
      </c>
      <c r="G12" s="134" t="s">
        <v>3410</v>
      </c>
      <c r="H12" s="134" t="s">
        <v>3434</v>
      </c>
      <c r="I12" s="139">
        <v>43605</v>
      </c>
      <c r="J12" s="139">
        <v>43620</v>
      </c>
      <c r="K12" s="139" t="s">
        <v>3435</v>
      </c>
      <c r="L12" s="139" t="s">
        <v>3436</v>
      </c>
      <c r="M12" s="140">
        <v>2268000</v>
      </c>
      <c r="N12" s="140">
        <v>113400</v>
      </c>
      <c r="O12" s="141">
        <v>0.05</v>
      </c>
      <c r="P12" s="140">
        <v>113400</v>
      </c>
      <c r="Q12" s="141" t="s">
        <v>3437</v>
      </c>
      <c r="R12" s="142" t="s">
        <v>3437</v>
      </c>
      <c r="S12" s="140" t="s">
        <v>3437</v>
      </c>
    </row>
    <row r="13" spans="2:19" ht="15">
      <c r="B13" t="s">
        <v>3441</v>
      </c>
      <c r="C13" s="133">
        <v>7</v>
      </c>
      <c r="D13" s="133">
        <v>100022</v>
      </c>
      <c r="E13" s="134" t="s">
        <v>3412</v>
      </c>
      <c r="F13" s="133" t="s">
        <v>3409</v>
      </c>
      <c r="G13" s="134" t="s">
        <v>3410</v>
      </c>
      <c r="H13" s="134" t="s">
        <v>3434</v>
      </c>
      <c r="I13" s="139">
        <v>43607</v>
      </c>
      <c r="J13" s="139">
        <v>43609</v>
      </c>
      <c r="K13" s="139" t="s">
        <v>3438</v>
      </c>
      <c r="L13" s="139" t="s">
        <v>3439</v>
      </c>
      <c r="M13" s="140">
        <v>11925</v>
      </c>
      <c r="N13" s="140">
        <v>-31253.18</v>
      </c>
      <c r="O13" s="141">
        <v>2.620811740041929</v>
      </c>
      <c r="P13" s="140">
        <v>-465929.02</v>
      </c>
      <c r="Q13" s="141">
        <v>39.07161593291405</v>
      </c>
      <c r="R13" s="142">
        <v>14.90821158038958</v>
      </c>
      <c r="S13" s="140">
        <v>434675.84</v>
      </c>
    </row>
    <row r="14" spans="2:19" ht="15">
      <c r="B14" t="s">
        <v>3441</v>
      </c>
      <c r="C14" s="133">
        <v>8</v>
      </c>
      <c r="D14" s="133">
        <v>100137</v>
      </c>
      <c r="E14" s="134" t="s">
        <v>3414</v>
      </c>
      <c r="F14" s="133" t="s">
        <v>3409</v>
      </c>
      <c r="G14" s="134" t="s">
        <v>3410</v>
      </c>
      <c r="H14" s="134" t="s">
        <v>3434</v>
      </c>
      <c r="I14" s="139">
        <v>43720</v>
      </c>
      <c r="J14" s="139">
        <v>43724</v>
      </c>
      <c r="K14" s="139" t="s">
        <v>3438</v>
      </c>
      <c r="L14" s="139" t="s">
        <v>3439</v>
      </c>
      <c r="M14" s="140">
        <v>254511</v>
      </c>
      <c r="N14" s="140">
        <v>-122047.73</v>
      </c>
      <c r="O14" s="141">
        <v>0.4795381339116973</v>
      </c>
      <c r="P14" s="140">
        <v>-106979.81</v>
      </c>
      <c r="Q14" s="141">
        <v>0.42033472030678437</v>
      </c>
      <c r="R14" s="142">
        <v>0.8765407599141746</v>
      </c>
      <c r="S14" s="140">
        <v>-15067.919999999998</v>
      </c>
    </row>
    <row r="15" spans="2:19" ht="15">
      <c r="B15" t="s">
        <v>3441</v>
      </c>
      <c r="C15" s="133">
        <v>11</v>
      </c>
      <c r="D15" s="133">
        <v>100137</v>
      </c>
      <c r="E15" s="134" t="s">
        <v>3414</v>
      </c>
      <c r="F15" s="133" t="s">
        <v>3409</v>
      </c>
      <c r="G15" s="134" t="s">
        <v>3410</v>
      </c>
      <c r="H15" s="134" t="s">
        <v>3434</v>
      </c>
      <c r="I15" s="139">
        <v>43728</v>
      </c>
      <c r="J15" s="139">
        <v>43732</v>
      </c>
      <c r="K15" s="139" t="s">
        <v>3438</v>
      </c>
      <c r="L15" s="139" t="s">
        <v>3439</v>
      </c>
      <c r="M15" s="140">
        <v>3181</v>
      </c>
      <c r="N15" s="140">
        <v>-1525.41</v>
      </c>
      <c r="O15" s="141">
        <v>0.47953788116944357</v>
      </c>
      <c r="P15" s="140">
        <v>-1412.72</v>
      </c>
      <c r="Q15" s="141">
        <v>0.44411191449229803</v>
      </c>
      <c r="R15" s="142">
        <v>0.9261247795674605</v>
      </c>
      <c r="S15" s="140">
        <v>-112.69000000000005</v>
      </c>
    </row>
    <row r="16" spans="2:19" ht="15">
      <c r="B16" t="s">
        <v>3445</v>
      </c>
      <c r="C16" s="133">
        <v>12</v>
      </c>
      <c r="D16" s="133">
        <v>100249</v>
      </c>
      <c r="E16" s="143" t="s">
        <v>3416</v>
      </c>
      <c r="F16" s="133" t="s">
        <v>3409</v>
      </c>
      <c r="G16" s="134" t="s">
        <v>3410</v>
      </c>
      <c r="H16" s="134" t="s">
        <v>3434</v>
      </c>
      <c r="I16" s="139">
        <v>43735</v>
      </c>
      <c r="J16" s="139">
        <v>43738</v>
      </c>
      <c r="K16" s="139" t="s">
        <v>3435</v>
      </c>
      <c r="L16" s="139" t="s">
        <v>3436</v>
      </c>
      <c r="M16" s="140">
        <v>3133333</v>
      </c>
      <c r="N16" s="140">
        <v>1409999.85</v>
      </c>
      <c r="O16" s="141">
        <v>0.45</v>
      </c>
      <c r="P16" s="140">
        <v>1409999.85</v>
      </c>
      <c r="Q16" s="141" t="s">
        <v>3437</v>
      </c>
      <c r="R16" s="142" t="s">
        <v>3437</v>
      </c>
      <c r="S16" s="140" t="s">
        <v>3437</v>
      </c>
    </row>
    <row r="17" spans="2:19" ht="15">
      <c r="B17" t="s">
        <v>3444</v>
      </c>
      <c r="C17" s="133">
        <v>13</v>
      </c>
      <c r="D17" s="133">
        <v>100039</v>
      </c>
      <c r="E17" s="143" t="s">
        <v>3408</v>
      </c>
      <c r="F17" s="133" t="s">
        <v>3409</v>
      </c>
      <c r="G17" s="134" t="s">
        <v>3410</v>
      </c>
      <c r="H17" s="134" t="s">
        <v>3434</v>
      </c>
      <c r="I17" s="139">
        <v>43738</v>
      </c>
      <c r="J17" s="139">
        <v>43758</v>
      </c>
      <c r="K17" s="139" t="s">
        <v>3435</v>
      </c>
      <c r="L17" s="139" t="s">
        <v>3436</v>
      </c>
      <c r="M17" s="140">
        <v>715500</v>
      </c>
      <c r="N17" s="140">
        <v>715500</v>
      </c>
      <c r="O17" s="141">
        <v>1</v>
      </c>
      <c r="P17" s="140">
        <v>715500</v>
      </c>
      <c r="Q17" s="141" t="s">
        <v>3437</v>
      </c>
      <c r="R17" s="142" t="s">
        <v>3437</v>
      </c>
      <c r="S17" s="140" t="s">
        <v>3437</v>
      </c>
    </row>
    <row r="18" spans="2:19" ht="15">
      <c r="B18" t="s">
        <v>3442</v>
      </c>
      <c r="C18" s="133">
        <v>16</v>
      </c>
      <c r="D18" s="133">
        <v>100024</v>
      </c>
      <c r="E18" s="134" t="s">
        <v>3418</v>
      </c>
      <c r="F18" s="133" t="s">
        <v>3409</v>
      </c>
      <c r="G18" s="134" t="s">
        <v>3410</v>
      </c>
      <c r="H18" s="134" t="s">
        <v>3434</v>
      </c>
      <c r="I18" s="139">
        <v>43742</v>
      </c>
      <c r="J18" s="139">
        <v>43746</v>
      </c>
      <c r="K18" s="139" t="s">
        <v>3435</v>
      </c>
      <c r="L18" s="139" t="s">
        <v>3439</v>
      </c>
      <c r="M18" s="140">
        <v>595000</v>
      </c>
      <c r="N18" s="140">
        <v>-351050</v>
      </c>
      <c r="O18" s="141">
        <v>0.59</v>
      </c>
      <c r="P18" s="140">
        <v>-11875.2</v>
      </c>
      <c r="Q18" s="141">
        <v>0.019958319327731094</v>
      </c>
      <c r="R18" s="142">
        <v>0.03382765987751033</v>
      </c>
      <c r="S18" s="140">
        <v>-339174.8</v>
      </c>
    </row>
    <row r="19" spans="2:19" ht="15">
      <c r="B19" t="s">
        <v>3444</v>
      </c>
      <c r="C19" s="133">
        <v>17</v>
      </c>
      <c r="D19" s="133">
        <v>100072</v>
      </c>
      <c r="E19" s="134" t="s">
        <v>3419</v>
      </c>
      <c r="F19" s="133" t="s">
        <v>3409</v>
      </c>
      <c r="G19" s="134" t="s">
        <v>3410</v>
      </c>
      <c r="H19" s="134" t="s">
        <v>3434</v>
      </c>
      <c r="I19" s="139">
        <v>43745</v>
      </c>
      <c r="J19" s="139">
        <v>43747</v>
      </c>
      <c r="K19" s="139" t="s">
        <v>3438</v>
      </c>
      <c r="L19" s="139" t="s">
        <v>3439</v>
      </c>
      <c r="M19" s="140">
        <v>247500</v>
      </c>
      <c r="N19" s="140">
        <v>-84150</v>
      </c>
      <c r="O19" s="141">
        <v>0.34</v>
      </c>
      <c r="P19" s="140">
        <v>-360626.3</v>
      </c>
      <c r="Q19" s="141">
        <v>1.4570759595959595</v>
      </c>
      <c r="R19" s="142">
        <v>4.28551752822341</v>
      </c>
      <c r="S19" s="140">
        <v>276476.3</v>
      </c>
    </row>
    <row r="20" spans="2:19" ht="15">
      <c r="B20" t="s">
        <v>3444</v>
      </c>
      <c r="C20" s="133">
        <v>18</v>
      </c>
      <c r="D20" s="133">
        <v>100072</v>
      </c>
      <c r="E20" s="134" t="s">
        <v>3419</v>
      </c>
      <c r="F20" s="133" t="s">
        <v>3409</v>
      </c>
      <c r="G20" s="134" t="s">
        <v>3410</v>
      </c>
      <c r="H20" s="134" t="s">
        <v>3434</v>
      </c>
      <c r="I20" s="139">
        <v>43746</v>
      </c>
      <c r="J20" s="139">
        <v>43748</v>
      </c>
      <c r="K20" s="139" t="s">
        <v>3438</v>
      </c>
      <c r="L20" s="139" t="s">
        <v>3439</v>
      </c>
      <c r="M20" s="140">
        <v>45000</v>
      </c>
      <c r="N20" s="140">
        <v>-15300</v>
      </c>
      <c r="O20" s="141">
        <v>0.34</v>
      </c>
      <c r="P20" s="140">
        <v>-66241.25</v>
      </c>
      <c r="Q20" s="141">
        <v>1.4720277777777777</v>
      </c>
      <c r="R20" s="142">
        <v>4.3294934640522875</v>
      </c>
      <c r="S20" s="140">
        <v>50941.25</v>
      </c>
    </row>
    <row r="21" spans="2:19" ht="15">
      <c r="B21" t="s">
        <v>3444</v>
      </c>
      <c r="C21" s="133">
        <v>19</v>
      </c>
      <c r="D21" s="133">
        <v>100072</v>
      </c>
      <c r="E21" s="134" t="s">
        <v>3419</v>
      </c>
      <c r="F21" s="133" t="s">
        <v>3409</v>
      </c>
      <c r="G21" s="134" t="s">
        <v>3410</v>
      </c>
      <c r="H21" s="134" t="s">
        <v>3434</v>
      </c>
      <c r="I21" s="139">
        <v>43747</v>
      </c>
      <c r="J21" s="139">
        <v>43749</v>
      </c>
      <c r="K21" s="139" t="s">
        <v>3438</v>
      </c>
      <c r="L21" s="139" t="s">
        <v>3439</v>
      </c>
      <c r="M21" s="140">
        <v>22500</v>
      </c>
      <c r="N21" s="140">
        <v>-7650</v>
      </c>
      <c r="O21" s="141">
        <v>0.34</v>
      </c>
      <c r="P21" s="140">
        <v>-33120.13</v>
      </c>
      <c r="Q21" s="141">
        <v>1.4720057777777777</v>
      </c>
      <c r="R21" s="142">
        <v>4.329428758169934</v>
      </c>
      <c r="S21" s="140">
        <v>25470.129999999997</v>
      </c>
    </row>
    <row r="22" spans="2:19" ht="15">
      <c r="B22" t="s">
        <v>3444</v>
      </c>
      <c r="C22" s="133">
        <v>20</v>
      </c>
      <c r="D22" s="133">
        <v>100072</v>
      </c>
      <c r="E22" s="134" t="s">
        <v>3419</v>
      </c>
      <c r="F22" s="133" t="s">
        <v>3409</v>
      </c>
      <c r="G22" s="134" t="s">
        <v>3410</v>
      </c>
      <c r="H22" s="134" t="s">
        <v>3434</v>
      </c>
      <c r="I22" s="139">
        <v>43748</v>
      </c>
      <c r="J22" s="139">
        <v>43752</v>
      </c>
      <c r="K22" s="139" t="s">
        <v>3438</v>
      </c>
      <c r="L22" s="139" t="s">
        <v>3439</v>
      </c>
      <c r="M22" s="140">
        <v>21150</v>
      </c>
      <c r="N22" s="140">
        <v>-7191</v>
      </c>
      <c r="O22" s="141">
        <v>0.34</v>
      </c>
      <c r="P22" s="140">
        <v>-31540.24</v>
      </c>
      <c r="Q22" s="141">
        <v>1.4912643026004728</v>
      </c>
      <c r="R22" s="142">
        <v>4.386071478236685</v>
      </c>
      <c r="S22" s="140">
        <v>24349.24</v>
      </c>
    </row>
    <row r="23" spans="2:19" ht="15">
      <c r="B23" t="s">
        <v>3444</v>
      </c>
      <c r="C23" s="133">
        <v>21</v>
      </c>
      <c r="D23" s="133">
        <v>100072</v>
      </c>
      <c r="E23" s="134" t="s">
        <v>3419</v>
      </c>
      <c r="F23" s="133" t="s">
        <v>3409</v>
      </c>
      <c r="G23" s="134" t="s">
        <v>3410</v>
      </c>
      <c r="H23" s="134" t="s">
        <v>3434</v>
      </c>
      <c r="I23" s="139">
        <v>43749</v>
      </c>
      <c r="J23" s="139">
        <v>43753</v>
      </c>
      <c r="K23" s="139" t="s">
        <v>3438</v>
      </c>
      <c r="L23" s="139" t="s">
        <v>3439</v>
      </c>
      <c r="M23" s="140">
        <v>18000</v>
      </c>
      <c r="N23" s="140">
        <v>-6120</v>
      </c>
      <c r="O23" s="141">
        <v>0.34</v>
      </c>
      <c r="P23" s="140">
        <v>-26788.71</v>
      </c>
      <c r="Q23" s="141">
        <v>1.4882616666666666</v>
      </c>
      <c r="R23" s="142">
        <v>4.377240196078431</v>
      </c>
      <c r="S23" s="140">
        <v>20668.71</v>
      </c>
    </row>
    <row r="24" spans="2:19" ht="15">
      <c r="B24" t="s">
        <v>3441</v>
      </c>
      <c r="C24" s="133">
        <v>23</v>
      </c>
      <c r="D24" s="133">
        <v>100072</v>
      </c>
      <c r="E24" s="134" t="s">
        <v>3419</v>
      </c>
      <c r="F24" s="133" t="s">
        <v>3409</v>
      </c>
      <c r="G24" s="134" t="s">
        <v>3410</v>
      </c>
      <c r="H24" s="134" t="s">
        <v>3434</v>
      </c>
      <c r="I24" s="139">
        <v>43755</v>
      </c>
      <c r="J24" s="139">
        <v>43759</v>
      </c>
      <c r="K24" s="139" t="s">
        <v>3435</v>
      </c>
      <c r="L24" s="139" t="s">
        <v>3439</v>
      </c>
      <c r="M24" s="140">
        <v>838282</v>
      </c>
      <c r="N24" s="140">
        <v>-241713.36</v>
      </c>
      <c r="O24" s="141">
        <v>0.28834373158435944</v>
      </c>
      <c r="P24" s="140">
        <v>-1233992.02</v>
      </c>
      <c r="Q24" s="141">
        <v>1.4720488093505526</v>
      </c>
      <c r="R24" s="142">
        <v>5.105187483223931</v>
      </c>
      <c r="S24" s="140">
        <v>992278.66</v>
      </c>
    </row>
    <row r="25" spans="2:19" ht="15">
      <c r="B25" t="s">
        <v>3441</v>
      </c>
      <c r="C25" s="133">
        <v>24</v>
      </c>
      <c r="D25" s="133">
        <v>100137</v>
      </c>
      <c r="E25" s="134" t="s">
        <v>3414</v>
      </c>
      <c r="F25" s="133" t="s">
        <v>3409</v>
      </c>
      <c r="G25" s="134" t="s">
        <v>3410</v>
      </c>
      <c r="H25" s="134" t="s">
        <v>3434</v>
      </c>
      <c r="I25" s="139">
        <v>43756</v>
      </c>
      <c r="J25" s="139">
        <v>43760</v>
      </c>
      <c r="K25" s="139" t="s">
        <v>3438</v>
      </c>
      <c r="L25" s="139" t="s">
        <v>3439</v>
      </c>
      <c r="M25" s="140">
        <v>118984</v>
      </c>
      <c r="N25" s="140">
        <v>-57057.37</v>
      </c>
      <c r="O25" s="141">
        <v>0.479538173199758</v>
      </c>
      <c r="P25" s="140">
        <v>-51059.79</v>
      </c>
      <c r="Q25" s="141">
        <v>0.4291315639077523</v>
      </c>
      <c r="R25" s="142">
        <v>0.8948850954749579</v>
      </c>
      <c r="S25" s="140">
        <v>-5997.580000000002</v>
      </c>
    </row>
    <row r="26" spans="2:19" ht="15">
      <c r="B26" t="s">
        <v>3441</v>
      </c>
      <c r="C26" s="133">
        <v>25</v>
      </c>
      <c r="D26" s="133">
        <v>100137</v>
      </c>
      <c r="E26" s="134" t="s">
        <v>3414</v>
      </c>
      <c r="F26" s="133" t="s">
        <v>3409</v>
      </c>
      <c r="G26" s="134" t="s">
        <v>3410</v>
      </c>
      <c r="H26" s="134" t="s">
        <v>3434</v>
      </c>
      <c r="I26" s="139">
        <v>43759</v>
      </c>
      <c r="J26" s="139">
        <v>43761</v>
      </c>
      <c r="K26" s="139" t="s">
        <v>3438</v>
      </c>
      <c r="L26" s="139" t="s">
        <v>3439</v>
      </c>
      <c r="M26" s="140">
        <v>8272</v>
      </c>
      <c r="N26" s="140">
        <v>-3966.74</v>
      </c>
      <c r="O26" s="141">
        <v>0.4795382011605416</v>
      </c>
      <c r="P26" s="140">
        <v>-3599.38</v>
      </c>
      <c r="Q26" s="141">
        <v>0.4351281431334623</v>
      </c>
      <c r="R26" s="142">
        <v>0.9073899474127369</v>
      </c>
      <c r="S26" s="140">
        <v>-367.3599999999997</v>
      </c>
    </row>
    <row r="27" spans="2:19" ht="15">
      <c r="B27" t="s">
        <v>3441</v>
      </c>
      <c r="C27" s="133">
        <v>26</v>
      </c>
      <c r="D27" s="133">
        <v>100072</v>
      </c>
      <c r="E27" s="134" t="s">
        <v>3419</v>
      </c>
      <c r="F27" s="133" t="s">
        <v>3409</v>
      </c>
      <c r="G27" s="134" t="s">
        <v>3410</v>
      </c>
      <c r="H27" s="134" t="s">
        <v>3434</v>
      </c>
      <c r="I27" s="139">
        <v>43760</v>
      </c>
      <c r="J27" s="139">
        <v>43762</v>
      </c>
      <c r="K27" s="139" t="s">
        <v>3435</v>
      </c>
      <c r="L27" s="139" t="s">
        <v>3439</v>
      </c>
      <c r="M27" s="140">
        <v>45000</v>
      </c>
      <c r="N27" s="140">
        <v>-11628</v>
      </c>
      <c r="O27" s="141">
        <v>0.2584</v>
      </c>
      <c r="P27" s="140">
        <v>-66578.07</v>
      </c>
      <c r="Q27" s="141">
        <v>1.479512666666667</v>
      </c>
      <c r="R27" s="142">
        <v>5.725668214654283</v>
      </c>
      <c r="S27" s="140">
        <v>54950.07000000001</v>
      </c>
    </row>
    <row r="28" spans="2:19" ht="15">
      <c r="B28" t="s">
        <v>3441</v>
      </c>
      <c r="C28" s="133">
        <v>27</v>
      </c>
      <c r="D28" s="133">
        <v>100072</v>
      </c>
      <c r="E28" s="134" t="s">
        <v>3419</v>
      </c>
      <c r="F28" s="133" t="s">
        <v>3409</v>
      </c>
      <c r="G28" s="134" t="s">
        <v>3410</v>
      </c>
      <c r="H28" s="134" t="s">
        <v>3434</v>
      </c>
      <c r="I28" s="139">
        <v>43763</v>
      </c>
      <c r="J28" s="139">
        <v>43767</v>
      </c>
      <c r="K28" s="139" t="s">
        <v>3435</v>
      </c>
      <c r="L28" s="139" t="s">
        <v>3439</v>
      </c>
      <c r="M28" s="140">
        <v>54000</v>
      </c>
      <c r="N28" s="140">
        <v>-13953.6</v>
      </c>
      <c r="O28" s="141">
        <v>0.2584</v>
      </c>
      <c r="P28" s="140">
        <v>-80028.62</v>
      </c>
      <c r="Q28" s="141">
        <v>1.4820114814814813</v>
      </c>
      <c r="R28" s="142">
        <v>5.7353385506249275</v>
      </c>
      <c r="S28" s="140">
        <v>66075.01999999999</v>
      </c>
    </row>
    <row r="29" spans="2:19" ht="15">
      <c r="B29" t="s">
        <v>3441</v>
      </c>
      <c r="C29" s="133">
        <v>30</v>
      </c>
      <c r="D29" s="133">
        <v>100137</v>
      </c>
      <c r="E29" s="134" t="s">
        <v>3414</v>
      </c>
      <c r="F29" s="133" t="s">
        <v>3409</v>
      </c>
      <c r="G29" s="134" t="s">
        <v>3410</v>
      </c>
      <c r="H29" s="134" t="s">
        <v>3434</v>
      </c>
      <c r="I29" s="139">
        <v>43770</v>
      </c>
      <c r="J29" s="139">
        <v>43774</v>
      </c>
      <c r="K29" s="139" t="s">
        <v>3438</v>
      </c>
      <c r="L29" s="139" t="s">
        <v>3439</v>
      </c>
      <c r="M29" s="140">
        <v>7954</v>
      </c>
      <c r="N29" s="140">
        <v>-3814.25</v>
      </c>
      <c r="O29" s="141">
        <v>0.47953859693236106</v>
      </c>
      <c r="P29" s="140">
        <v>-3453.07</v>
      </c>
      <c r="Q29" s="141">
        <v>0.4341299974855419</v>
      </c>
      <c r="R29" s="142">
        <v>0.9053077276004458</v>
      </c>
      <c r="S29" s="140">
        <v>-361.17999999999984</v>
      </c>
    </row>
    <row r="30" spans="2:19" ht="15">
      <c r="B30" t="s">
        <v>3441</v>
      </c>
      <c r="C30" s="133">
        <v>33</v>
      </c>
      <c r="D30" s="133">
        <v>100137</v>
      </c>
      <c r="E30" s="134" t="s">
        <v>3414</v>
      </c>
      <c r="F30" s="133" t="s">
        <v>3409</v>
      </c>
      <c r="G30" s="134" t="s">
        <v>3410</v>
      </c>
      <c r="H30" s="134" t="s">
        <v>3434</v>
      </c>
      <c r="I30" s="139">
        <v>43789</v>
      </c>
      <c r="J30" s="139">
        <v>43791</v>
      </c>
      <c r="K30" s="139" t="s">
        <v>3438</v>
      </c>
      <c r="L30" s="139" t="s">
        <v>3439</v>
      </c>
      <c r="M30" s="140">
        <v>23860</v>
      </c>
      <c r="N30" s="140">
        <v>-11441.78</v>
      </c>
      <c r="O30" s="141">
        <v>0.4795381391450126</v>
      </c>
      <c r="P30" s="140">
        <v>-10119.22</v>
      </c>
      <c r="Q30" s="141">
        <v>0.42410813076278286</v>
      </c>
      <c r="R30" s="142">
        <v>0.8844095936121826</v>
      </c>
      <c r="S30" s="140">
        <v>-1322.5600000000013</v>
      </c>
    </row>
    <row r="31" spans="2:19" ht="15">
      <c r="B31" t="s">
        <v>3441</v>
      </c>
      <c r="C31" s="133">
        <v>34</v>
      </c>
      <c r="D31" s="133">
        <v>100137</v>
      </c>
      <c r="E31" s="134" t="s">
        <v>3414</v>
      </c>
      <c r="F31" s="133" t="s">
        <v>3409</v>
      </c>
      <c r="G31" s="134" t="s">
        <v>3410</v>
      </c>
      <c r="H31" s="134" t="s">
        <v>3434</v>
      </c>
      <c r="I31" s="139">
        <v>43791</v>
      </c>
      <c r="J31" s="139">
        <v>43795</v>
      </c>
      <c r="K31" s="139" t="s">
        <v>3438</v>
      </c>
      <c r="L31" s="139" t="s">
        <v>3439</v>
      </c>
      <c r="M31" s="140">
        <v>15907</v>
      </c>
      <c r="N31" s="140">
        <v>-7628.01</v>
      </c>
      <c r="O31" s="141">
        <v>0.4795379392720186</v>
      </c>
      <c r="P31" s="140">
        <v>-6826.33</v>
      </c>
      <c r="Q31" s="141">
        <v>0.4291400012573081</v>
      </c>
      <c r="R31" s="142">
        <v>0.8949031267656964</v>
      </c>
      <c r="S31" s="140">
        <v>-801.6800000000003</v>
      </c>
    </row>
    <row r="32" spans="2:19" ht="15">
      <c r="B32" t="s">
        <v>3446</v>
      </c>
      <c r="C32" s="133">
        <v>35</v>
      </c>
      <c r="D32" s="133">
        <v>100139</v>
      </c>
      <c r="E32" s="134" t="s">
        <v>3422</v>
      </c>
      <c r="F32" s="133" t="s">
        <v>3409</v>
      </c>
      <c r="G32" s="134" t="s">
        <v>3410</v>
      </c>
      <c r="H32" s="134" t="s">
        <v>3434</v>
      </c>
      <c r="I32" s="139">
        <v>43802</v>
      </c>
      <c r="J32" s="139">
        <v>43804</v>
      </c>
      <c r="K32" s="139" t="s">
        <v>3435</v>
      </c>
      <c r="L32" s="139" t="s">
        <v>3439</v>
      </c>
      <c r="M32" s="140">
        <v>12963</v>
      </c>
      <c r="N32" s="140">
        <v>-34404.369999999995</v>
      </c>
      <c r="O32" s="141">
        <v>2.6540438170176652</v>
      </c>
      <c r="P32" s="140">
        <v>-19728.04</v>
      </c>
      <c r="Q32" s="141">
        <v>1.5218730232199338</v>
      </c>
      <c r="R32" s="142">
        <v>0.5734166909610612</v>
      </c>
      <c r="S32" s="140">
        <v>-14676.329999999994</v>
      </c>
    </row>
    <row r="33" spans="2:19" ht="15">
      <c r="B33" t="s">
        <v>3446</v>
      </c>
      <c r="C33" s="133">
        <v>37</v>
      </c>
      <c r="D33" s="133">
        <v>100139</v>
      </c>
      <c r="E33" s="134" t="s">
        <v>3422</v>
      </c>
      <c r="F33" s="133" t="s">
        <v>3409</v>
      </c>
      <c r="G33" s="134" t="s">
        <v>3410</v>
      </c>
      <c r="H33" s="134" t="s">
        <v>3434</v>
      </c>
      <c r="I33" s="139">
        <v>43817</v>
      </c>
      <c r="J33" s="139">
        <v>43819</v>
      </c>
      <c r="K33" s="139" t="s">
        <v>3435</v>
      </c>
      <c r="L33" s="139" t="s">
        <v>3439</v>
      </c>
      <c r="M33" s="140">
        <v>182754</v>
      </c>
      <c r="N33" s="140">
        <v>-484298.1</v>
      </c>
      <c r="O33" s="141">
        <v>2.65</v>
      </c>
      <c r="P33" s="140">
        <v>-269022.03</v>
      </c>
      <c r="Q33" s="141">
        <v>1.4720445516924392</v>
      </c>
      <c r="R33" s="142">
        <v>0.5554885100726186</v>
      </c>
      <c r="S33" s="140">
        <v>-215276.06999999995</v>
      </c>
    </row>
    <row r="34" spans="2:19" ht="15">
      <c r="B34" t="s">
        <v>3377</v>
      </c>
      <c r="C34" s="133">
        <v>1</v>
      </c>
      <c r="D34" s="133">
        <v>100039</v>
      </c>
      <c r="E34" s="134" t="s">
        <v>3408</v>
      </c>
      <c r="F34" s="133" t="s">
        <v>3440</v>
      </c>
      <c r="G34" s="134" t="s">
        <v>3410</v>
      </c>
      <c r="H34" s="134" t="s">
        <v>3434</v>
      </c>
      <c r="I34" s="139">
        <v>43497</v>
      </c>
      <c r="J34" s="139">
        <v>43501</v>
      </c>
      <c r="K34" s="139" t="s">
        <v>3435</v>
      </c>
      <c r="L34" s="139" t="s">
        <v>3436</v>
      </c>
      <c r="M34" s="140">
        <v>176000</v>
      </c>
      <c r="N34" s="140">
        <v>176000</v>
      </c>
      <c r="O34" s="141">
        <v>1</v>
      </c>
      <c r="P34" s="140">
        <v>176000</v>
      </c>
      <c r="Q34" s="141" t="s">
        <v>3437</v>
      </c>
      <c r="R34" s="142" t="s">
        <v>3437</v>
      </c>
      <c r="S34" s="140" t="s">
        <v>3437</v>
      </c>
    </row>
    <row r="35" spans="2:19" ht="15">
      <c r="B35" t="s">
        <v>23</v>
      </c>
      <c r="C35" s="133">
        <v>2</v>
      </c>
      <c r="D35" s="133">
        <v>100051</v>
      </c>
      <c r="E35" s="134" t="s">
        <v>3411</v>
      </c>
      <c r="F35" s="133" t="s">
        <v>3440</v>
      </c>
      <c r="G35" s="134" t="s">
        <v>3410</v>
      </c>
      <c r="H35" s="134" t="s">
        <v>3434</v>
      </c>
      <c r="I35" s="139">
        <v>43542</v>
      </c>
      <c r="J35" s="139">
        <v>43544</v>
      </c>
      <c r="K35" s="139" t="s">
        <v>3435</v>
      </c>
      <c r="L35" s="139" t="s">
        <v>3436</v>
      </c>
      <c r="M35" s="140">
        <v>2092175</v>
      </c>
      <c r="N35" s="140">
        <v>1590053</v>
      </c>
      <c r="O35" s="141">
        <v>0.76</v>
      </c>
      <c r="P35" s="140">
        <v>1590053</v>
      </c>
      <c r="Q35" s="141" t="s">
        <v>3437</v>
      </c>
      <c r="R35" s="142" t="s">
        <v>3437</v>
      </c>
      <c r="S35" s="140" t="s">
        <v>3437</v>
      </c>
    </row>
    <row r="36" spans="2:19" ht="15">
      <c r="B36" t="s">
        <v>3441</v>
      </c>
      <c r="C36" s="133">
        <v>3</v>
      </c>
      <c r="D36" s="133">
        <v>100022</v>
      </c>
      <c r="E36" s="134" t="s">
        <v>3412</v>
      </c>
      <c r="F36" s="133" t="s">
        <v>3440</v>
      </c>
      <c r="G36" s="134" t="s">
        <v>3410</v>
      </c>
      <c r="H36" s="134" t="s">
        <v>3434</v>
      </c>
      <c r="I36" s="139">
        <v>43586</v>
      </c>
      <c r="J36" s="139">
        <v>43588</v>
      </c>
      <c r="K36" s="139" t="s">
        <v>3438</v>
      </c>
      <c r="L36" s="139" t="s">
        <v>3439</v>
      </c>
      <c r="M36" s="140">
        <v>12100</v>
      </c>
      <c r="N36" s="140">
        <v>-31711.85</v>
      </c>
      <c r="O36" s="141">
        <v>2.6208140495867767</v>
      </c>
      <c r="P36" s="140">
        <v>-483031</v>
      </c>
      <c r="Q36" s="141">
        <v>39.9199173553719</v>
      </c>
      <c r="R36" s="142">
        <v>15.23187704280892</v>
      </c>
      <c r="S36" s="140">
        <v>451319.15</v>
      </c>
    </row>
    <row r="37" spans="2:19" ht="15">
      <c r="B37" t="s">
        <v>3442</v>
      </c>
      <c r="C37" s="133">
        <v>4</v>
      </c>
      <c r="D37" s="133">
        <v>100022</v>
      </c>
      <c r="E37" s="134" t="s">
        <v>3412</v>
      </c>
      <c r="F37" s="133" t="s">
        <v>3440</v>
      </c>
      <c r="G37" s="134" t="s">
        <v>3410</v>
      </c>
      <c r="H37" s="134" t="s">
        <v>3434</v>
      </c>
      <c r="I37" s="139">
        <v>43602</v>
      </c>
      <c r="J37" s="139">
        <v>43606</v>
      </c>
      <c r="K37" s="139" t="s">
        <v>3438</v>
      </c>
      <c r="L37" s="139" t="s">
        <v>3439</v>
      </c>
      <c r="M37" s="140">
        <v>13750</v>
      </c>
      <c r="N37" s="140">
        <v>-36036.2</v>
      </c>
      <c r="O37" s="141">
        <v>2.6208145454545453</v>
      </c>
      <c r="P37" s="140">
        <v>-537234.87</v>
      </c>
      <c r="Q37" s="141">
        <v>39.07162690909091</v>
      </c>
      <c r="R37" s="142">
        <v>14.908199810190865</v>
      </c>
      <c r="S37" s="140">
        <v>501198.67</v>
      </c>
    </row>
    <row r="38" spans="2:19" ht="15">
      <c r="B38" t="s">
        <v>3442</v>
      </c>
      <c r="C38" s="133">
        <v>5</v>
      </c>
      <c r="D38" s="133">
        <v>100022</v>
      </c>
      <c r="E38" s="134" t="s">
        <v>3412</v>
      </c>
      <c r="F38" s="133" t="s">
        <v>3440</v>
      </c>
      <c r="G38" s="134" t="s">
        <v>3410</v>
      </c>
      <c r="H38" s="134" t="s">
        <v>3434</v>
      </c>
      <c r="I38" s="139">
        <v>43605</v>
      </c>
      <c r="J38" s="139">
        <v>43607</v>
      </c>
      <c r="K38" s="139" t="s">
        <v>3438</v>
      </c>
      <c r="L38" s="139" t="s">
        <v>3439</v>
      </c>
      <c r="M38" s="140">
        <v>22000</v>
      </c>
      <c r="N38" s="140">
        <v>-57657.91</v>
      </c>
      <c r="O38" s="141">
        <v>2.620814090909091</v>
      </c>
      <c r="P38" s="140">
        <v>-859576.4</v>
      </c>
      <c r="Q38" s="141">
        <v>39.07165454545455</v>
      </c>
      <c r="R38" s="142">
        <v>14.9082129407743</v>
      </c>
      <c r="S38" s="140">
        <v>801918.49</v>
      </c>
    </row>
    <row r="39" spans="2:19" ht="15">
      <c r="B39" t="s">
        <v>3443</v>
      </c>
      <c r="C39" s="133">
        <v>6</v>
      </c>
      <c r="D39" s="133">
        <v>100042</v>
      </c>
      <c r="E39" s="134" t="s">
        <v>3413</v>
      </c>
      <c r="F39" s="133" t="s">
        <v>3440</v>
      </c>
      <c r="G39" s="134" t="s">
        <v>3410</v>
      </c>
      <c r="H39" s="134" t="s">
        <v>3434</v>
      </c>
      <c r="I39" s="139">
        <v>43605</v>
      </c>
      <c r="J39" s="139">
        <v>43620</v>
      </c>
      <c r="K39" s="139" t="s">
        <v>3435</v>
      </c>
      <c r="L39" s="139" t="s">
        <v>3436</v>
      </c>
      <c r="M39" s="140">
        <v>2772000</v>
      </c>
      <c r="N39" s="140">
        <v>138600</v>
      </c>
      <c r="O39" s="141">
        <v>0.05</v>
      </c>
      <c r="P39" s="140">
        <v>138600</v>
      </c>
      <c r="Q39" s="141" t="s">
        <v>3437</v>
      </c>
      <c r="R39" s="142" t="s">
        <v>3437</v>
      </c>
      <c r="S39" s="140" t="s">
        <v>3437</v>
      </c>
    </row>
    <row r="40" spans="2:19" ht="15">
      <c r="B40" t="s">
        <v>3441</v>
      </c>
      <c r="C40" s="133">
        <v>7</v>
      </c>
      <c r="D40" s="133">
        <v>100022</v>
      </c>
      <c r="E40" s="134" t="s">
        <v>3412</v>
      </c>
      <c r="F40" s="133" t="s">
        <v>3440</v>
      </c>
      <c r="G40" s="134" t="s">
        <v>3410</v>
      </c>
      <c r="H40" s="134" t="s">
        <v>3434</v>
      </c>
      <c r="I40" s="139">
        <v>43607</v>
      </c>
      <c r="J40" s="139">
        <v>43609</v>
      </c>
      <c r="K40" s="139" t="s">
        <v>3438</v>
      </c>
      <c r="L40" s="139" t="s">
        <v>3439</v>
      </c>
      <c r="M40" s="140">
        <v>14575</v>
      </c>
      <c r="N40" s="140">
        <v>-38198.37</v>
      </c>
      <c r="O40" s="141">
        <v>2.6208144082332763</v>
      </c>
      <c r="P40" s="140">
        <v>-569469.03</v>
      </c>
      <c r="Q40" s="141">
        <v>39.07163156089194</v>
      </c>
      <c r="R40" s="142">
        <v>14.908202365703039</v>
      </c>
      <c r="S40" s="140">
        <v>531270.66</v>
      </c>
    </row>
    <row r="41" spans="2:19" ht="15">
      <c r="B41" t="s">
        <v>3441</v>
      </c>
      <c r="C41" s="133">
        <v>8</v>
      </c>
      <c r="D41" s="133">
        <v>100137</v>
      </c>
      <c r="E41" s="143" t="s">
        <v>3414</v>
      </c>
      <c r="F41" s="133" t="s">
        <v>3440</v>
      </c>
      <c r="G41" s="134" t="s">
        <v>3410</v>
      </c>
      <c r="H41" s="134" t="s">
        <v>3434</v>
      </c>
      <c r="I41" s="139">
        <v>43720</v>
      </c>
      <c r="J41" s="139">
        <v>43724</v>
      </c>
      <c r="K41" s="139" t="s">
        <v>3438</v>
      </c>
      <c r="L41" s="139" t="s">
        <v>3439</v>
      </c>
      <c r="M41" s="140">
        <v>545489</v>
      </c>
      <c r="N41" s="140">
        <v>-285814</v>
      </c>
      <c r="O41" s="141">
        <v>0.5239592365748896</v>
      </c>
      <c r="P41" s="140">
        <v>-229289.1</v>
      </c>
      <c r="Q41" s="141">
        <v>0.4203367987255472</v>
      </c>
      <c r="R41" s="142">
        <v>0.8022318710769941</v>
      </c>
      <c r="S41" s="140">
        <v>-56524.899999999994</v>
      </c>
    </row>
    <row r="42" spans="2:19" ht="15">
      <c r="B42" t="s">
        <v>3441</v>
      </c>
      <c r="C42" s="133">
        <v>11</v>
      </c>
      <c r="D42" s="133">
        <v>100137</v>
      </c>
      <c r="E42" s="143" t="s">
        <v>3414</v>
      </c>
      <c r="F42" s="133" t="s">
        <v>3440</v>
      </c>
      <c r="G42" s="134" t="s">
        <v>3410</v>
      </c>
      <c r="H42" s="134" t="s">
        <v>3434</v>
      </c>
      <c r="I42" s="139">
        <v>43728</v>
      </c>
      <c r="J42" s="139">
        <v>43732</v>
      </c>
      <c r="K42" s="139" t="s">
        <v>3438</v>
      </c>
      <c r="L42" s="139" t="s">
        <v>3439</v>
      </c>
      <c r="M42" s="140">
        <v>6819</v>
      </c>
      <c r="N42" s="140">
        <v>-3572.88</v>
      </c>
      <c r="O42" s="141">
        <v>0.5239595248570171</v>
      </c>
      <c r="P42" s="140">
        <v>-3028.39</v>
      </c>
      <c r="Q42" s="141">
        <v>0.4441105733978589</v>
      </c>
      <c r="R42" s="142">
        <v>0.8476047334363314</v>
      </c>
      <c r="S42" s="140">
        <v>-544.4900000000002</v>
      </c>
    </row>
    <row r="43" spans="2:19" ht="15">
      <c r="B43" t="s">
        <v>3445</v>
      </c>
      <c r="C43" s="133">
        <v>12</v>
      </c>
      <c r="D43" s="133">
        <v>100249</v>
      </c>
      <c r="E43" s="143" t="s">
        <v>3416</v>
      </c>
      <c r="F43" s="133" t="s">
        <v>3440</v>
      </c>
      <c r="G43" s="134" t="s">
        <v>3410</v>
      </c>
      <c r="H43" s="134" t="s">
        <v>3434</v>
      </c>
      <c r="I43" s="139">
        <v>43735</v>
      </c>
      <c r="J43" s="139">
        <v>43738</v>
      </c>
      <c r="K43" s="139" t="s">
        <v>3435</v>
      </c>
      <c r="L43" s="139" t="s">
        <v>3436</v>
      </c>
      <c r="M43" s="140">
        <v>3533333</v>
      </c>
      <c r="N43" s="140">
        <v>1589999.85</v>
      </c>
      <c r="O43" s="141">
        <v>0.45</v>
      </c>
      <c r="P43" s="140">
        <v>1589999.85</v>
      </c>
      <c r="Q43" s="141" t="s">
        <v>3437</v>
      </c>
      <c r="R43" s="142" t="s">
        <v>3437</v>
      </c>
      <c r="S43" s="140" t="s">
        <v>3437</v>
      </c>
    </row>
    <row r="44" spans="2:19" ht="15">
      <c r="B44" t="s">
        <v>3444</v>
      </c>
      <c r="C44" s="133">
        <v>13</v>
      </c>
      <c r="D44" s="133">
        <v>100039</v>
      </c>
      <c r="E44" s="134" t="s">
        <v>3408</v>
      </c>
      <c r="F44" s="133" t="s">
        <v>3440</v>
      </c>
      <c r="G44" s="134" t="s">
        <v>3410</v>
      </c>
      <c r="H44" s="134" t="s">
        <v>3434</v>
      </c>
      <c r="I44" s="139">
        <v>43738</v>
      </c>
      <c r="J44" s="139">
        <v>43758</v>
      </c>
      <c r="K44" s="139" t="s">
        <v>3435</v>
      </c>
      <c r="L44" s="139" t="s">
        <v>3436</v>
      </c>
      <c r="M44" s="140">
        <v>874500</v>
      </c>
      <c r="N44" s="140">
        <v>874500</v>
      </c>
      <c r="O44" s="141">
        <v>1</v>
      </c>
      <c r="P44" s="140">
        <v>874500</v>
      </c>
      <c r="Q44" s="141" t="s">
        <v>3437</v>
      </c>
      <c r="R44" s="142" t="s">
        <v>3437</v>
      </c>
      <c r="S44" s="140" t="s">
        <v>3437</v>
      </c>
    </row>
    <row r="45" spans="2:19" ht="15">
      <c r="B45" t="s">
        <v>3442</v>
      </c>
      <c r="C45" s="133">
        <v>16</v>
      </c>
      <c r="D45" s="133">
        <v>100024</v>
      </c>
      <c r="E45" s="134" t="s">
        <v>3418</v>
      </c>
      <c r="F45" s="133" t="s">
        <v>3440</v>
      </c>
      <c r="G45" s="134" t="s">
        <v>3410</v>
      </c>
      <c r="H45" s="134" t="s">
        <v>3434</v>
      </c>
      <c r="I45" s="139">
        <v>43742</v>
      </c>
      <c r="J45" s="139">
        <v>43746</v>
      </c>
      <c r="K45" s="139" t="s">
        <v>3435</v>
      </c>
      <c r="L45" s="139" t="s">
        <v>3439</v>
      </c>
      <c r="M45" s="140">
        <v>1105000</v>
      </c>
      <c r="N45" s="140">
        <v>-651950</v>
      </c>
      <c r="O45" s="141">
        <v>0.59</v>
      </c>
      <c r="P45" s="140">
        <v>-22054.8</v>
      </c>
      <c r="Q45" s="141">
        <v>0.019959095022624433</v>
      </c>
      <c r="R45" s="142">
        <v>0.03382897461461768</v>
      </c>
      <c r="S45" s="140">
        <v>-629895.2</v>
      </c>
    </row>
    <row r="46" spans="2:19" ht="15">
      <c r="B46" t="s">
        <v>3444</v>
      </c>
      <c r="C46" s="133">
        <v>17</v>
      </c>
      <c r="D46" s="133">
        <v>100072</v>
      </c>
      <c r="E46" s="134" t="s">
        <v>3419</v>
      </c>
      <c r="F46" s="133" t="s">
        <v>3440</v>
      </c>
      <c r="G46" s="134" t="s">
        <v>3410</v>
      </c>
      <c r="H46" s="134" t="s">
        <v>3434</v>
      </c>
      <c r="I46" s="139">
        <v>43745</v>
      </c>
      <c r="J46" s="139">
        <v>43747</v>
      </c>
      <c r="K46" s="139" t="s">
        <v>3438</v>
      </c>
      <c r="L46" s="139" t="s">
        <v>3439</v>
      </c>
      <c r="M46" s="140">
        <v>302500</v>
      </c>
      <c r="N46" s="140">
        <v>-102850</v>
      </c>
      <c r="O46" s="141">
        <v>0.34</v>
      </c>
      <c r="P46" s="140">
        <v>-440765.7</v>
      </c>
      <c r="Q46" s="141">
        <v>1.457076694214876</v>
      </c>
      <c r="R46" s="142">
        <v>4.285519688867282</v>
      </c>
      <c r="S46" s="140">
        <v>337915.7</v>
      </c>
    </row>
    <row r="47" spans="2:19" ht="15">
      <c r="B47" t="s">
        <v>3444</v>
      </c>
      <c r="C47" s="133">
        <v>18</v>
      </c>
      <c r="D47" s="133">
        <v>100072</v>
      </c>
      <c r="E47" s="134" t="s">
        <v>3419</v>
      </c>
      <c r="F47" s="133" t="s">
        <v>3440</v>
      </c>
      <c r="G47" s="134" t="s">
        <v>3410</v>
      </c>
      <c r="H47" s="134" t="s">
        <v>3434</v>
      </c>
      <c r="I47" s="139">
        <v>43746</v>
      </c>
      <c r="J47" s="139">
        <v>43748</v>
      </c>
      <c r="K47" s="139" t="s">
        <v>3438</v>
      </c>
      <c r="L47" s="139" t="s">
        <v>3439</v>
      </c>
      <c r="M47" s="140">
        <v>55000</v>
      </c>
      <c r="N47" s="140">
        <v>-18700</v>
      </c>
      <c r="O47" s="141">
        <v>0.34</v>
      </c>
      <c r="P47" s="140">
        <v>-80961.75</v>
      </c>
      <c r="Q47" s="141">
        <v>1.4720318181818182</v>
      </c>
      <c r="R47" s="142">
        <v>4.3295053475935825</v>
      </c>
      <c r="S47" s="140">
        <v>62261.75</v>
      </c>
    </row>
    <row r="48" spans="2:19" ht="15">
      <c r="B48" t="s">
        <v>3444</v>
      </c>
      <c r="C48" s="133">
        <v>19</v>
      </c>
      <c r="D48" s="133">
        <v>100072</v>
      </c>
      <c r="E48" s="134" t="s">
        <v>3419</v>
      </c>
      <c r="F48" s="133" t="s">
        <v>3440</v>
      </c>
      <c r="G48" s="134" t="s">
        <v>3410</v>
      </c>
      <c r="H48" s="134" t="s">
        <v>3434</v>
      </c>
      <c r="I48" s="139">
        <v>43747</v>
      </c>
      <c r="J48" s="139">
        <v>43749</v>
      </c>
      <c r="K48" s="139" t="s">
        <v>3438</v>
      </c>
      <c r="L48" s="139" t="s">
        <v>3439</v>
      </c>
      <c r="M48" s="140">
        <v>27500</v>
      </c>
      <c r="N48" s="140">
        <v>-9350</v>
      </c>
      <c r="O48" s="141">
        <v>0.34</v>
      </c>
      <c r="P48" s="140">
        <v>-40480.37</v>
      </c>
      <c r="Q48" s="141">
        <v>1.4720134545454546</v>
      </c>
      <c r="R48" s="142">
        <v>4.329451336898396</v>
      </c>
      <c r="S48" s="140">
        <v>31130.370000000003</v>
      </c>
    </row>
    <row r="49" spans="2:19" ht="15">
      <c r="B49" t="s">
        <v>3444</v>
      </c>
      <c r="C49" s="133">
        <v>20</v>
      </c>
      <c r="D49" s="133">
        <v>100072</v>
      </c>
      <c r="E49" s="134" t="s">
        <v>3419</v>
      </c>
      <c r="F49" s="133" t="s">
        <v>3440</v>
      </c>
      <c r="G49" s="134" t="s">
        <v>3410</v>
      </c>
      <c r="H49" s="134" t="s">
        <v>3434</v>
      </c>
      <c r="I49" s="139">
        <v>43748</v>
      </c>
      <c r="J49" s="139">
        <v>43752</v>
      </c>
      <c r="K49" s="139" t="s">
        <v>3438</v>
      </c>
      <c r="L49" s="139" t="s">
        <v>3439</v>
      </c>
      <c r="M49" s="140">
        <v>25850</v>
      </c>
      <c r="N49" s="140">
        <v>-8789</v>
      </c>
      <c r="O49" s="141">
        <v>0.34</v>
      </c>
      <c r="P49" s="140">
        <v>-38549.41</v>
      </c>
      <c r="Q49" s="141">
        <v>1.4912731141199227</v>
      </c>
      <c r="R49" s="142">
        <v>4.386097394470361</v>
      </c>
      <c r="S49" s="140">
        <v>29760.410000000003</v>
      </c>
    </row>
    <row r="50" spans="2:19" ht="15">
      <c r="B50" t="s">
        <v>3444</v>
      </c>
      <c r="C50" s="133">
        <v>21</v>
      </c>
      <c r="D50" s="133">
        <v>100072</v>
      </c>
      <c r="E50" s="134" t="s">
        <v>3419</v>
      </c>
      <c r="F50" s="133" t="s">
        <v>3440</v>
      </c>
      <c r="G50" s="134" t="s">
        <v>3410</v>
      </c>
      <c r="H50" s="134" t="s">
        <v>3434</v>
      </c>
      <c r="I50" s="139">
        <v>43749</v>
      </c>
      <c r="J50" s="139">
        <v>43753</v>
      </c>
      <c r="K50" s="139" t="s">
        <v>3438</v>
      </c>
      <c r="L50" s="139" t="s">
        <v>3439</v>
      </c>
      <c r="M50" s="140">
        <v>22000</v>
      </c>
      <c r="N50" s="140">
        <v>-7480</v>
      </c>
      <c r="O50" s="141">
        <v>0.34</v>
      </c>
      <c r="P50" s="140">
        <v>-32741.98</v>
      </c>
      <c r="Q50" s="141">
        <v>1.4882718181818182</v>
      </c>
      <c r="R50" s="142">
        <v>4.377270053475936</v>
      </c>
      <c r="S50" s="140">
        <v>25261.98</v>
      </c>
    </row>
    <row r="51" spans="2:19" ht="15">
      <c r="B51" t="s">
        <v>3441</v>
      </c>
      <c r="C51" s="133">
        <v>23</v>
      </c>
      <c r="D51" s="133">
        <v>100072</v>
      </c>
      <c r="E51" s="134" t="s">
        <v>3419</v>
      </c>
      <c r="F51" s="133" t="s">
        <v>3440</v>
      </c>
      <c r="G51" s="134" t="s">
        <v>3410</v>
      </c>
      <c r="H51" s="134" t="s">
        <v>3434</v>
      </c>
      <c r="I51" s="139">
        <v>43755</v>
      </c>
      <c r="J51" s="139">
        <v>43759</v>
      </c>
      <c r="K51" s="139" t="s">
        <v>3435</v>
      </c>
      <c r="L51" s="139" t="s">
        <v>3439</v>
      </c>
      <c r="M51" s="140">
        <v>1024567</v>
      </c>
      <c r="N51" s="140">
        <v>-295427.6</v>
      </c>
      <c r="O51" s="141">
        <v>0.2883438564779072</v>
      </c>
      <c r="P51" s="140">
        <v>-1508212.85</v>
      </c>
      <c r="Q51" s="141">
        <v>1.4720490216842823</v>
      </c>
      <c r="R51" s="142">
        <v>5.105186008348578</v>
      </c>
      <c r="S51" s="140">
        <v>1212785.25</v>
      </c>
    </row>
    <row r="52" spans="2:19" ht="15">
      <c r="B52" t="s">
        <v>3441</v>
      </c>
      <c r="C52" s="133">
        <v>24</v>
      </c>
      <c r="D52" s="133">
        <v>100137</v>
      </c>
      <c r="E52" s="134" t="s">
        <v>3414</v>
      </c>
      <c r="F52" s="133" t="s">
        <v>3440</v>
      </c>
      <c r="G52" s="134" t="s">
        <v>3410</v>
      </c>
      <c r="H52" s="134" t="s">
        <v>3434</v>
      </c>
      <c r="I52" s="139">
        <v>43756</v>
      </c>
      <c r="J52" s="139">
        <v>43760</v>
      </c>
      <c r="K52" s="139" t="s">
        <v>3438</v>
      </c>
      <c r="L52" s="139" t="s">
        <v>3439</v>
      </c>
      <c r="M52" s="140">
        <v>255016</v>
      </c>
      <c r="N52" s="140">
        <v>-133617.98</v>
      </c>
      <c r="O52" s="141">
        <v>0.5239592025598394</v>
      </c>
      <c r="P52" s="140">
        <v>-109436.57</v>
      </c>
      <c r="Q52" s="141">
        <v>0.42913609342158926</v>
      </c>
      <c r="R52" s="142">
        <v>0.8190257778182247</v>
      </c>
      <c r="S52" s="140">
        <v>-24181.410000000003</v>
      </c>
    </row>
    <row r="53" spans="2:19" ht="15">
      <c r="B53" t="s">
        <v>3441</v>
      </c>
      <c r="C53" s="133">
        <v>25</v>
      </c>
      <c r="D53" s="133">
        <v>100137</v>
      </c>
      <c r="E53" s="134" t="s">
        <v>3414</v>
      </c>
      <c r="F53" s="133" t="s">
        <v>3440</v>
      </c>
      <c r="G53" s="134" t="s">
        <v>3410</v>
      </c>
      <c r="H53" s="134" t="s">
        <v>3434</v>
      </c>
      <c r="I53" s="139">
        <v>43759</v>
      </c>
      <c r="J53" s="139">
        <v>43761</v>
      </c>
      <c r="K53" s="139" t="s">
        <v>3438</v>
      </c>
      <c r="L53" s="139" t="s">
        <v>3439</v>
      </c>
      <c r="M53" s="140">
        <v>17728</v>
      </c>
      <c r="N53" s="140">
        <v>-9288.75</v>
      </c>
      <c r="O53" s="141">
        <v>0.5239592734657039</v>
      </c>
      <c r="P53" s="140">
        <v>-7713.95</v>
      </c>
      <c r="Q53" s="141">
        <v>0.43512804602888083</v>
      </c>
      <c r="R53" s="142">
        <v>0.83046157986812</v>
      </c>
      <c r="S53" s="140">
        <v>-1574.8000000000002</v>
      </c>
    </row>
    <row r="54" spans="2:19" ht="15">
      <c r="B54" t="s">
        <v>3441</v>
      </c>
      <c r="C54" s="133">
        <v>26</v>
      </c>
      <c r="D54" s="133">
        <v>100072</v>
      </c>
      <c r="E54" s="134" t="s">
        <v>3419</v>
      </c>
      <c r="F54" s="133" t="s">
        <v>3440</v>
      </c>
      <c r="G54" s="134" t="s">
        <v>3410</v>
      </c>
      <c r="H54" s="134" t="s">
        <v>3434</v>
      </c>
      <c r="I54" s="139">
        <v>43760</v>
      </c>
      <c r="J54" s="139">
        <v>43762</v>
      </c>
      <c r="K54" s="139" t="s">
        <v>3435</v>
      </c>
      <c r="L54" s="139" t="s">
        <v>3439</v>
      </c>
      <c r="M54" s="140">
        <v>55000</v>
      </c>
      <c r="N54" s="140">
        <v>-14212</v>
      </c>
      <c r="O54" s="141">
        <v>0.2584</v>
      </c>
      <c r="P54" s="140">
        <v>-81373.42</v>
      </c>
      <c r="Q54" s="141">
        <v>1.4795167272727272</v>
      </c>
      <c r="R54" s="142">
        <v>5.725683929074022</v>
      </c>
      <c r="S54" s="140">
        <v>67161.42</v>
      </c>
    </row>
    <row r="55" spans="2:19" ht="15">
      <c r="B55" t="s">
        <v>3441</v>
      </c>
      <c r="C55" s="133">
        <v>27</v>
      </c>
      <c r="D55" s="133">
        <v>100072</v>
      </c>
      <c r="E55" s="134" t="s">
        <v>3419</v>
      </c>
      <c r="F55" s="133" t="s">
        <v>3440</v>
      </c>
      <c r="G55" s="134" t="s">
        <v>3410</v>
      </c>
      <c r="H55" s="134" t="s">
        <v>3434</v>
      </c>
      <c r="I55" s="139">
        <v>43763</v>
      </c>
      <c r="J55" s="139">
        <v>43767</v>
      </c>
      <c r="K55" s="139" t="s">
        <v>3435</v>
      </c>
      <c r="L55" s="139" t="s">
        <v>3439</v>
      </c>
      <c r="M55" s="140">
        <v>66000</v>
      </c>
      <c r="N55" s="140">
        <v>-17054.4</v>
      </c>
      <c r="O55" s="141">
        <v>0.2584</v>
      </c>
      <c r="P55" s="140">
        <v>-97812.98</v>
      </c>
      <c r="Q55" s="141">
        <v>1.4820148484848483</v>
      </c>
      <c r="R55" s="142">
        <v>5.735351580823716</v>
      </c>
      <c r="S55" s="140">
        <v>80758.57999999999</v>
      </c>
    </row>
    <row r="56" spans="2:19" ht="15">
      <c r="B56" t="s">
        <v>3441</v>
      </c>
      <c r="C56" s="133">
        <v>30</v>
      </c>
      <c r="D56" s="133">
        <v>100137</v>
      </c>
      <c r="E56" s="134" t="s">
        <v>3414</v>
      </c>
      <c r="F56" s="133" t="s">
        <v>3440</v>
      </c>
      <c r="G56" s="134" t="s">
        <v>3410</v>
      </c>
      <c r="H56" s="134" t="s">
        <v>3434</v>
      </c>
      <c r="I56" s="139">
        <v>43770</v>
      </c>
      <c r="J56" s="139">
        <v>43774</v>
      </c>
      <c r="K56" s="139" t="s">
        <v>3438</v>
      </c>
      <c r="L56" s="139" t="s">
        <v>3439</v>
      </c>
      <c r="M56" s="140">
        <v>17046</v>
      </c>
      <c r="N56" s="140">
        <v>-8931.41</v>
      </c>
      <c r="O56" s="141">
        <v>0.523959286636161</v>
      </c>
      <c r="P56" s="140">
        <v>-7400.18</v>
      </c>
      <c r="Q56" s="141">
        <v>0.4341300011732958</v>
      </c>
      <c r="R56" s="142">
        <v>0.8285567452395535</v>
      </c>
      <c r="S56" s="140">
        <v>-1531.2299999999996</v>
      </c>
    </row>
    <row r="57" spans="2:19" ht="15">
      <c r="B57" t="s">
        <v>3441</v>
      </c>
      <c r="C57" s="133">
        <v>33</v>
      </c>
      <c r="D57" s="133">
        <v>100137</v>
      </c>
      <c r="E57" s="134" t="s">
        <v>3414</v>
      </c>
      <c r="F57" s="133" t="s">
        <v>3440</v>
      </c>
      <c r="G57" s="134" t="s">
        <v>3410</v>
      </c>
      <c r="H57" s="134" t="s">
        <v>3434</v>
      </c>
      <c r="I57" s="139">
        <v>43789</v>
      </c>
      <c r="J57" s="139">
        <v>43791</v>
      </c>
      <c r="K57" s="139" t="s">
        <v>3438</v>
      </c>
      <c r="L57" s="139" t="s">
        <v>3439</v>
      </c>
      <c r="M57" s="140">
        <v>51140</v>
      </c>
      <c r="N57" s="140">
        <v>-26795.27</v>
      </c>
      <c r="O57" s="141">
        <v>0.5239591317950724</v>
      </c>
      <c r="P57" s="140">
        <v>-21690.03</v>
      </c>
      <c r="Q57" s="141">
        <v>0.4241304262807978</v>
      </c>
      <c r="R57" s="142">
        <v>0.809472343439719</v>
      </c>
      <c r="S57" s="140">
        <v>-5105.240000000002</v>
      </c>
    </row>
    <row r="58" spans="2:19" ht="15">
      <c r="B58" t="s">
        <v>3441</v>
      </c>
      <c r="C58" s="133">
        <v>34</v>
      </c>
      <c r="D58" s="133">
        <v>100137</v>
      </c>
      <c r="E58" s="134" t="s">
        <v>3414</v>
      </c>
      <c r="F58" s="133" t="s">
        <v>3440</v>
      </c>
      <c r="G58" s="134" t="s">
        <v>3410</v>
      </c>
      <c r="H58" s="134" t="s">
        <v>3434</v>
      </c>
      <c r="I58" s="139">
        <v>43791</v>
      </c>
      <c r="J58" s="139">
        <v>43795</v>
      </c>
      <c r="K58" s="139" t="s">
        <v>3438</v>
      </c>
      <c r="L58" s="139" t="s">
        <v>3439</v>
      </c>
      <c r="M58" s="140">
        <v>34093</v>
      </c>
      <c r="N58" s="140">
        <v>-17863.34</v>
      </c>
      <c r="O58" s="141">
        <v>0.523959170504209</v>
      </c>
      <c r="P58" s="140">
        <v>-14629.67</v>
      </c>
      <c r="Q58" s="141">
        <v>0.42911066787903673</v>
      </c>
      <c r="R58" s="142">
        <v>0.8189773021170733</v>
      </c>
      <c r="S58" s="140">
        <v>-3233.67</v>
      </c>
    </row>
    <row r="59" spans="2:19" ht="15">
      <c r="B59" t="s">
        <v>3446</v>
      </c>
      <c r="C59" s="133">
        <v>35</v>
      </c>
      <c r="D59" s="133">
        <v>100139</v>
      </c>
      <c r="E59" s="134" t="s">
        <v>3422</v>
      </c>
      <c r="F59" s="133" t="s">
        <v>3440</v>
      </c>
      <c r="G59" s="134" t="s">
        <v>3410</v>
      </c>
      <c r="H59" s="134" t="s">
        <v>3434</v>
      </c>
      <c r="I59" s="139">
        <v>43802</v>
      </c>
      <c r="J59" s="139">
        <v>43804</v>
      </c>
      <c r="K59" s="139" t="s">
        <v>3435</v>
      </c>
      <c r="L59" s="139" t="s">
        <v>3439</v>
      </c>
      <c r="M59" s="140">
        <v>12037</v>
      </c>
      <c r="N59" s="140">
        <v>-31950.469999999998</v>
      </c>
      <c r="O59" s="141">
        <v>2.654354905707402</v>
      </c>
      <c r="P59" s="140">
        <v>-18318.72</v>
      </c>
      <c r="Q59" s="141">
        <v>1.521867574977154</v>
      </c>
      <c r="R59" s="142">
        <v>0.5733474343256924</v>
      </c>
      <c r="S59" s="140">
        <v>-13631.749999999996</v>
      </c>
    </row>
    <row r="60" spans="2:19" ht="15">
      <c r="B60" t="s">
        <v>3446</v>
      </c>
      <c r="C60" s="133">
        <v>37</v>
      </c>
      <c r="D60" s="133">
        <v>100139</v>
      </c>
      <c r="E60" s="134" t="s">
        <v>3422</v>
      </c>
      <c r="F60" s="133" t="s">
        <v>3440</v>
      </c>
      <c r="G60" s="134" t="s">
        <v>3410</v>
      </c>
      <c r="H60" s="134" t="s">
        <v>3434</v>
      </c>
      <c r="I60" s="139">
        <v>43817</v>
      </c>
      <c r="J60" s="139">
        <v>43819</v>
      </c>
      <c r="K60" s="139" t="s">
        <v>3435</v>
      </c>
      <c r="L60" s="139" t="s">
        <v>3439</v>
      </c>
      <c r="M60" s="140">
        <v>169704</v>
      </c>
      <c r="N60" s="140">
        <v>-449715.6</v>
      </c>
      <c r="O60" s="141">
        <v>2.65</v>
      </c>
      <c r="P60" s="140">
        <v>-249811.77</v>
      </c>
      <c r="Q60" s="141">
        <v>1.4720440885306179</v>
      </c>
      <c r="R60" s="142">
        <v>0.5554883352945729</v>
      </c>
      <c r="S60" s="140">
        <v>-199903.83</v>
      </c>
    </row>
  </sheetData>
  <autoFilter ref="B6:S60"/>
  <conditionalFormatting sqref="C7:S60">
    <cfRule type="expression" priority="3" dxfId="11">
      <formula>AND($A7=1,MOD($D7+1,2))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0C114-385E-4219-8032-FB5CE37CCAEA}">
  <dimension ref="B2:AH632"/>
  <sheetViews>
    <sheetView workbookViewId="0" topLeftCell="A1">
      <selection activeCell="K2" sqref="K2"/>
    </sheetView>
  </sheetViews>
  <sheetFormatPr defaultColWidth="9.140625" defaultRowHeight="15"/>
  <cols>
    <col min="2" max="2" width="41.140625" style="0" bestFit="1" customWidth="1"/>
    <col min="3" max="3" width="10.421875" style="0" bestFit="1" customWidth="1"/>
    <col min="9" max="9" width="10.421875" style="0" bestFit="1" customWidth="1"/>
    <col min="11" max="11" width="22.7109375" style="0" bestFit="1" customWidth="1"/>
  </cols>
  <sheetData>
    <row r="2" spans="2:34" ht="15" thickBot="1">
      <c r="B2" s="10" t="s">
        <v>47</v>
      </c>
      <c r="C2" s="10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H2" s="10" t="s">
        <v>53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10" t="s">
        <v>59</v>
      </c>
      <c r="O2" s="10" t="s">
        <v>60</v>
      </c>
      <c r="P2" s="10" t="s">
        <v>61</v>
      </c>
      <c r="Q2" s="10" t="s">
        <v>62</v>
      </c>
      <c r="R2" s="10" t="s">
        <v>63</v>
      </c>
      <c r="S2" s="10" t="s">
        <v>64</v>
      </c>
      <c r="T2" s="10" t="s">
        <v>65</v>
      </c>
      <c r="U2" s="10" t="s">
        <v>66</v>
      </c>
      <c r="V2" s="10" t="s">
        <v>67</v>
      </c>
      <c r="W2" s="10" t="s">
        <v>68</v>
      </c>
      <c r="X2" s="10" t="s">
        <v>69</v>
      </c>
      <c r="Y2" s="10" t="s">
        <v>70</v>
      </c>
      <c r="Z2" s="10" t="s">
        <v>71</v>
      </c>
      <c r="AA2" s="10" t="s">
        <v>72</v>
      </c>
      <c r="AB2" s="10" t="s">
        <v>73</v>
      </c>
      <c r="AC2" s="10" t="s">
        <v>74</v>
      </c>
      <c r="AD2" s="10" t="s">
        <v>75</v>
      </c>
      <c r="AE2" s="10" t="s">
        <v>76</v>
      </c>
      <c r="AF2" s="10" t="s">
        <v>77</v>
      </c>
      <c r="AG2" s="10" t="s">
        <v>78</v>
      </c>
      <c r="AH2" s="10" t="s">
        <v>79</v>
      </c>
    </row>
    <row r="3" spans="2:34" ht="15" thickTop="1">
      <c r="B3" s="1" t="s">
        <v>0</v>
      </c>
      <c r="C3" s="2">
        <v>43482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>
        <v>43481</v>
      </c>
      <c r="J3" s="3">
        <v>0.4666666666666667</v>
      </c>
      <c r="K3" s="2">
        <v>43483</v>
      </c>
      <c r="L3" s="1" t="s">
        <v>6</v>
      </c>
      <c r="M3" s="1"/>
      <c r="N3" s="1" t="s">
        <v>7</v>
      </c>
      <c r="O3" s="1" t="s">
        <v>8</v>
      </c>
      <c r="P3" s="1" t="s">
        <v>9</v>
      </c>
      <c r="Q3" s="1" t="s">
        <v>4</v>
      </c>
      <c r="R3" s="1" t="s">
        <v>4</v>
      </c>
      <c r="S3" s="1" t="s">
        <v>10</v>
      </c>
      <c r="T3" s="1"/>
      <c r="U3" s="1"/>
      <c r="V3" s="1"/>
      <c r="W3" s="1" t="s">
        <v>11</v>
      </c>
      <c r="X3" s="1" t="s">
        <v>12</v>
      </c>
      <c r="Y3" s="1" t="s">
        <v>12</v>
      </c>
      <c r="Z3" s="1" t="s">
        <v>13</v>
      </c>
      <c r="AA3" s="1" t="s">
        <v>14</v>
      </c>
      <c r="AB3" s="1" t="s">
        <v>15</v>
      </c>
      <c r="AC3" s="1" t="s">
        <v>16</v>
      </c>
      <c r="AD3" s="1" t="s">
        <v>17</v>
      </c>
      <c r="AE3" s="1" t="s">
        <v>18</v>
      </c>
      <c r="AF3" s="1" t="s">
        <v>19</v>
      </c>
      <c r="AG3" s="1" t="s">
        <v>19</v>
      </c>
      <c r="AH3" s="1" t="s">
        <v>15</v>
      </c>
    </row>
    <row r="4" spans="2:34" ht="15">
      <c r="B4" s="4" t="s">
        <v>20</v>
      </c>
      <c r="C4" s="5">
        <v>43483</v>
      </c>
      <c r="D4" s="4" t="s">
        <v>21</v>
      </c>
      <c r="E4" s="4" t="s">
        <v>22</v>
      </c>
      <c r="F4" s="4" t="s">
        <v>3</v>
      </c>
      <c r="G4" s="4" t="s">
        <v>4</v>
      </c>
      <c r="H4" s="4" t="s">
        <v>23</v>
      </c>
      <c r="I4" s="5">
        <v>43482</v>
      </c>
      <c r="J4" s="6">
        <v>0.6992708333333333</v>
      </c>
      <c r="K4" s="5">
        <v>43486</v>
      </c>
      <c r="L4" s="4" t="s">
        <v>6</v>
      </c>
      <c r="M4" s="4"/>
      <c r="N4" s="4" t="s">
        <v>24</v>
      </c>
      <c r="O4" s="4" t="s">
        <v>25</v>
      </c>
      <c r="P4" s="4" t="s">
        <v>26</v>
      </c>
      <c r="Q4" s="4" t="s">
        <v>4</v>
      </c>
      <c r="R4" s="4" t="s">
        <v>4</v>
      </c>
      <c r="S4" s="4" t="s">
        <v>10</v>
      </c>
      <c r="T4" s="4"/>
      <c r="U4" s="4"/>
      <c r="V4" s="4"/>
      <c r="W4" s="4" t="s">
        <v>27</v>
      </c>
      <c r="X4" s="4" t="s">
        <v>28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17</v>
      </c>
      <c r="AE4" s="4" t="s">
        <v>18</v>
      </c>
      <c r="AF4" s="4" t="s">
        <v>19</v>
      </c>
      <c r="AG4" s="4" t="s">
        <v>19</v>
      </c>
      <c r="AH4" s="4" t="s">
        <v>31</v>
      </c>
    </row>
    <row r="5" spans="2:34" ht="15">
      <c r="B5" s="1" t="s">
        <v>0</v>
      </c>
      <c r="C5" s="2">
        <v>43483</v>
      </c>
      <c r="D5" s="1" t="s">
        <v>1</v>
      </c>
      <c r="E5" s="1" t="s">
        <v>33</v>
      </c>
      <c r="F5" s="1" t="s">
        <v>3</v>
      </c>
      <c r="G5" s="1" t="s">
        <v>4</v>
      </c>
      <c r="H5" s="1" t="s">
        <v>23</v>
      </c>
      <c r="I5" s="2">
        <v>43482</v>
      </c>
      <c r="J5" s="3">
        <v>0.6992708333333333</v>
      </c>
      <c r="K5" s="2">
        <v>43486</v>
      </c>
      <c r="L5" s="1" t="s">
        <v>6</v>
      </c>
      <c r="M5" s="1"/>
      <c r="N5" s="1" t="s">
        <v>24</v>
      </c>
      <c r="O5" s="1" t="s">
        <v>25</v>
      </c>
      <c r="P5" s="1" t="s">
        <v>26</v>
      </c>
      <c r="Q5" s="1" t="s">
        <v>4</v>
      </c>
      <c r="R5" s="1" t="s">
        <v>4</v>
      </c>
      <c r="S5" s="1" t="s">
        <v>10</v>
      </c>
      <c r="T5" s="1"/>
      <c r="U5" s="1"/>
      <c r="V5" s="1"/>
      <c r="W5" s="1" t="s">
        <v>27</v>
      </c>
      <c r="X5" s="1" t="s">
        <v>34</v>
      </c>
      <c r="Y5" s="1" t="s">
        <v>34</v>
      </c>
      <c r="Z5" s="1" t="s">
        <v>29</v>
      </c>
      <c r="AA5" s="1" t="s">
        <v>35</v>
      </c>
      <c r="AB5" s="1" t="s">
        <v>36</v>
      </c>
      <c r="AC5" s="1" t="s">
        <v>37</v>
      </c>
      <c r="AD5" s="1" t="s">
        <v>17</v>
      </c>
      <c r="AE5" s="1" t="s">
        <v>18</v>
      </c>
      <c r="AF5" s="1" t="s">
        <v>19</v>
      </c>
      <c r="AG5" s="1" t="s">
        <v>19</v>
      </c>
      <c r="AH5" s="1" t="s">
        <v>36</v>
      </c>
    </row>
    <row r="6" spans="2:34" ht="15">
      <c r="B6" s="7" t="s">
        <v>0</v>
      </c>
      <c r="C6" s="8">
        <v>43490</v>
      </c>
      <c r="D6" s="7" t="s">
        <v>1</v>
      </c>
      <c r="E6" s="7" t="s">
        <v>38</v>
      </c>
      <c r="F6" s="7" t="s">
        <v>3</v>
      </c>
      <c r="G6" s="7" t="s">
        <v>4</v>
      </c>
      <c r="H6" s="7" t="s">
        <v>23</v>
      </c>
      <c r="I6" s="8">
        <v>43489</v>
      </c>
      <c r="J6" s="9">
        <v>0.6684375</v>
      </c>
      <c r="K6" s="8">
        <v>43493</v>
      </c>
      <c r="L6" s="7" t="s">
        <v>6</v>
      </c>
      <c r="M6" s="7"/>
      <c r="N6" s="7" t="s">
        <v>39</v>
      </c>
      <c r="O6" s="7" t="s">
        <v>40</v>
      </c>
      <c r="P6" s="7" t="s">
        <v>41</v>
      </c>
      <c r="Q6" s="7" t="s">
        <v>4</v>
      </c>
      <c r="R6" s="7" t="s">
        <v>4</v>
      </c>
      <c r="S6" s="7" t="s">
        <v>10</v>
      </c>
      <c r="T6" s="7"/>
      <c r="U6" s="7"/>
      <c r="V6" s="7"/>
      <c r="W6" s="7" t="s">
        <v>27</v>
      </c>
      <c r="X6" s="7" t="s">
        <v>42</v>
      </c>
      <c r="Y6" s="7" t="s">
        <v>42</v>
      </c>
      <c r="Z6" s="7" t="s">
        <v>43</v>
      </c>
      <c r="AA6" s="7" t="s">
        <v>44</v>
      </c>
      <c r="AB6" s="7" t="s">
        <v>45</v>
      </c>
      <c r="AC6" s="7" t="s">
        <v>46</v>
      </c>
      <c r="AD6" s="7" t="s">
        <v>17</v>
      </c>
      <c r="AE6" s="7" t="s">
        <v>18</v>
      </c>
      <c r="AF6" s="7" t="s">
        <v>19</v>
      </c>
      <c r="AG6" s="7" t="s">
        <v>19</v>
      </c>
      <c r="AH6" s="7" t="s">
        <v>45</v>
      </c>
    </row>
    <row r="7" spans="2:34" ht="15">
      <c r="B7" s="1" t="s">
        <v>20</v>
      </c>
      <c r="C7" s="2">
        <v>43502</v>
      </c>
      <c r="D7" s="1" t="s">
        <v>21</v>
      </c>
      <c r="E7" s="1" t="s">
        <v>108</v>
      </c>
      <c r="F7" s="1" t="s">
        <v>3</v>
      </c>
      <c r="G7" s="1" t="s">
        <v>4</v>
      </c>
      <c r="H7" s="1" t="s">
        <v>109</v>
      </c>
      <c r="I7" s="2">
        <v>43501</v>
      </c>
      <c r="J7" s="3">
        <v>0.5069444444444444</v>
      </c>
      <c r="K7" s="2">
        <v>43503</v>
      </c>
      <c r="L7" s="1" t="s">
        <v>6</v>
      </c>
      <c r="M7" s="1"/>
      <c r="N7" s="1" t="s">
        <v>110</v>
      </c>
      <c r="O7" s="1" t="s">
        <v>111</v>
      </c>
      <c r="P7" s="1" t="s">
        <v>112</v>
      </c>
      <c r="Q7" s="1" t="s">
        <v>4</v>
      </c>
      <c r="R7" s="1" t="s">
        <v>4</v>
      </c>
      <c r="S7" s="1" t="s">
        <v>10</v>
      </c>
      <c r="T7" s="1"/>
      <c r="U7" s="1"/>
      <c r="V7" s="1"/>
      <c r="W7" s="1" t="s">
        <v>11</v>
      </c>
      <c r="X7" s="1" t="s">
        <v>113</v>
      </c>
      <c r="Y7" s="1" t="s">
        <v>113</v>
      </c>
      <c r="Z7" s="1" t="s">
        <v>114</v>
      </c>
      <c r="AA7" s="1" t="s">
        <v>115</v>
      </c>
      <c r="AB7" s="1" t="s">
        <v>116</v>
      </c>
      <c r="AC7" s="1" t="s">
        <v>117</v>
      </c>
      <c r="AD7" s="1" t="s">
        <v>17</v>
      </c>
      <c r="AE7" s="1" t="s">
        <v>18</v>
      </c>
      <c r="AF7" s="1" t="s">
        <v>19</v>
      </c>
      <c r="AG7" s="1" t="s">
        <v>19</v>
      </c>
      <c r="AH7" s="1" t="s">
        <v>116</v>
      </c>
    </row>
    <row r="8" spans="2:34" ht="15">
      <c r="B8" s="4" t="s">
        <v>20</v>
      </c>
      <c r="C8" s="5">
        <v>43502</v>
      </c>
      <c r="D8" s="4" t="s">
        <v>21</v>
      </c>
      <c r="E8" s="4" t="s">
        <v>118</v>
      </c>
      <c r="F8" s="4" t="s">
        <v>3</v>
      </c>
      <c r="G8" s="4" t="s">
        <v>4</v>
      </c>
      <c r="H8" s="4" t="s">
        <v>119</v>
      </c>
      <c r="I8" s="5">
        <v>43501</v>
      </c>
      <c r="J8" s="6">
        <v>0.5589467592592593</v>
      </c>
      <c r="K8" s="5">
        <v>43503</v>
      </c>
      <c r="L8" s="4" t="s">
        <v>6</v>
      </c>
      <c r="M8" s="4"/>
      <c r="N8" s="4" t="s">
        <v>110</v>
      </c>
      <c r="O8" s="4" t="s">
        <v>111</v>
      </c>
      <c r="P8" s="4" t="s">
        <v>112</v>
      </c>
      <c r="Q8" s="4" t="s">
        <v>4</v>
      </c>
      <c r="R8" s="4" t="s">
        <v>4</v>
      </c>
      <c r="S8" s="4" t="s">
        <v>10</v>
      </c>
      <c r="T8" s="4"/>
      <c r="U8" s="4"/>
      <c r="V8" s="4"/>
      <c r="W8" s="4" t="s">
        <v>11</v>
      </c>
      <c r="X8" s="4" t="s">
        <v>120</v>
      </c>
      <c r="Y8" s="4" t="s">
        <v>120</v>
      </c>
      <c r="Z8" s="4" t="s">
        <v>121</v>
      </c>
      <c r="AA8" s="4" t="s">
        <v>122</v>
      </c>
      <c r="AB8" s="4" t="s">
        <v>123</v>
      </c>
      <c r="AC8" s="4" t="s">
        <v>124</v>
      </c>
      <c r="AD8" s="4" t="s">
        <v>17</v>
      </c>
      <c r="AE8" s="4" t="s">
        <v>18</v>
      </c>
      <c r="AF8" s="4" t="s">
        <v>19</v>
      </c>
      <c r="AG8" s="4" t="s">
        <v>19</v>
      </c>
      <c r="AH8" s="4" t="s">
        <v>123</v>
      </c>
    </row>
    <row r="9" spans="2:34" ht="15">
      <c r="B9" s="1" t="s">
        <v>0</v>
      </c>
      <c r="C9" s="2">
        <v>43509</v>
      </c>
      <c r="D9" s="1" t="s">
        <v>1</v>
      </c>
      <c r="E9" s="1" t="s">
        <v>125</v>
      </c>
      <c r="F9" s="1" t="s">
        <v>3</v>
      </c>
      <c r="G9" s="1" t="s">
        <v>4</v>
      </c>
      <c r="H9" s="1" t="s">
        <v>126</v>
      </c>
      <c r="I9" s="2">
        <v>43508</v>
      </c>
      <c r="J9" s="3">
        <v>0.6688310185185186</v>
      </c>
      <c r="K9" s="2">
        <v>43510</v>
      </c>
      <c r="L9" s="1" t="s">
        <v>6</v>
      </c>
      <c r="M9" s="1"/>
      <c r="N9" s="1" t="s">
        <v>127</v>
      </c>
      <c r="O9" s="1" t="s">
        <v>128</v>
      </c>
      <c r="P9" s="1" t="s">
        <v>129</v>
      </c>
      <c r="Q9" s="1" t="s">
        <v>4</v>
      </c>
      <c r="R9" s="1" t="s">
        <v>4</v>
      </c>
      <c r="S9" s="1" t="s">
        <v>10</v>
      </c>
      <c r="T9" s="1"/>
      <c r="U9" s="1"/>
      <c r="V9" s="1"/>
      <c r="W9" s="1" t="s">
        <v>27</v>
      </c>
      <c r="X9" s="1" t="s">
        <v>130</v>
      </c>
      <c r="Y9" s="1" t="s">
        <v>130</v>
      </c>
      <c r="Z9" s="1" t="s">
        <v>131</v>
      </c>
      <c r="AA9" s="1" t="s">
        <v>132</v>
      </c>
      <c r="AB9" s="1" t="s">
        <v>133</v>
      </c>
      <c r="AC9" s="1" t="s">
        <v>134</v>
      </c>
      <c r="AD9" s="1" t="s">
        <v>17</v>
      </c>
      <c r="AE9" s="1" t="s">
        <v>18</v>
      </c>
      <c r="AF9" s="1" t="s">
        <v>19</v>
      </c>
      <c r="AG9" s="1" t="s">
        <v>19</v>
      </c>
      <c r="AH9" s="1" t="s">
        <v>133</v>
      </c>
    </row>
    <row r="10" spans="2:34" ht="15">
      <c r="B10" s="4" t="s">
        <v>0</v>
      </c>
      <c r="C10" s="5">
        <v>43509</v>
      </c>
      <c r="D10" s="4" t="s">
        <v>1</v>
      </c>
      <c r="E10" s="4" t="s">
        <v>135</v>
      </c>
      <c r="F10" s="4" t="s">
        <v>3</v>
      </c>
      <c r="G10" s="4" t="s">
        <v>4</v>
      </c>
      <c r="H10" s="4" t="s">
        <v>119</v>
      </c>
      <c r="I10" s="5">
        <v>43508</v>
      </c>
      <c r="J10" s="6">
        <v>0.6933333333333334</v>
      </c>
      <c r="K10" s="5">
        <v>43510</v>
      </c>
      <c r="L10" s="4" t="s">
        <v>6</v>
      </c>
      <c r="M10" s="4"/>
      <c r="N10" s="4" t="s">
        <v>136</v>
      </c>
      <c r="O10" s="4" t="s">
        <v>137</v>
      </c>
      <c r="P10" s="4" t="s">
        <v>138</v>
      </c>
      <c r="Q10" s="4" t="s">
        <v>4</v>
      </c>
      <c r="R10" s="4" t="s">
        <v>4</v>
      </c>
      <c r="S10" s="4" t="s">
        <v>10</v>
      </c>
      <c r="T10" s="4"/>
      <c r="U10" s="4"/>
      <c r="V10" s="4"/>
      <c r="W10" s="4" t="s">
        <v>27</v>
      </c>
      <c r="X10" s="4" t="s">
        <v>139</v>
      </c>
      <c r="Y10" s="4" t="s">
        <v>139</v>
      </c>
      <c r="Z10" s="4" t="s">
        <v>140</v>
      </c>
      <c r="AA10" s="4" t="s">
        <v>141</v>
      </c>
      <c r="AB10" s="4" t="s">
        <v>142</v>
      </c>
      <c r="AC10" s="4" t="s">
        <v>143</v>
      </c>
      <c r="AD10" s="4" t="s">
        <v>17</v>
      </c>
      <c r="AE10" s="4" t="s">
        <v>17</v>
      </c>
      <c r="AF10" s="4" t="s">
        <v>19</v>
      </c>
      <c r="AG10" s="4" t="s">
        <v>19</v>
      </c>
      <c r="AH10" s="4" t="s">
        <v>142</v>
      </c>
    </row>
    <row r="11" spans="2:34" ht="15">
      <c r="B11" s="1" t="s">
        <v>20</v>
      </c>
      <c r="C11" s="2">
        <v>43511</v>
      </c>
      <c r="D11" s="1" t="s">
        <v>21</v>
      </c>
      <c r="E11" s="1" t="s">
        <v>144</v>
      </c>
      <c r="F11" s="1" t="s">
        <v>3</v>
      </c>
      <c r="G11" s="1" t="s">
        <v>4</v>
      </c>
      <c r="H11" s="1" t="s">
        <v>109</v>
      </c>
      <c r="I11" s="2">
        <v>43510</v>
      </c>
      <c r="J11" s="3">
        <v>0.6916666666666667</v>
      </c>
      <c r="K11" s="2">
        <v>43514</v>
      </c>
      <c r="L11" s="1" t="s">
        <v>6</v>
      </c>
      <c r="M11" s="1"/>
      <c r="N11" s="1" t="s">
        <v>145</v>
      </c>
      <c r="O11" s="1" t="s">
        <v>146</v>
      </c>
      <c r="P11" s="1" t="s">
        <v>147</v>
      </c>
      <c r="Q11" s="1" t="s">
        <v>4</v>
      </c>
      <c r="R11" s="1" t="s">
        <v>4</v>
      </c>
      <c r="S11" s="1" t="s">
        <v>10</v>
      </c>
      <c r="T11" s="1"/>
      <c r="U11" s="1"/>
      <c r="V11" s="1"/>
      <c r="W11" s="1" t="s">
        <v>27</v>
      </c>
      <c r="X11" s="1" t="s">
        <v>148</v>
      </c>
      <c r="Y11" s="1" t="s">
        <v>148</v>
      </c>
      <c r="Z11" s="1" t="s">
        <v>149</v>
      </c>
      <c r="AA11" s="1" t="s">
        <v>150</v>
      </c>
      <c r="AB11" s="1" t="s">
        <v>151</v>
      </c>
      <c r="AC11" s="1" t="s">
        <v>152</v>
      </c>
      <c r="AD11" s="1" t="s">
        <v>17</v>
      </c>
      <c r="AE11" s="1" t="s">
        <v>18</v>
      </c>
      <c r="AF11" s="1" t="s">
        <v>19</v>
      </c>
      <c r="AG11" s="1" t="s">
        <v>19</v>
      </c>
      <c r="AH11" s="1" t="s">
        <v>151</v>
      </c>
    </row>
    <row r="12" spans="2:34" ht="15">
      <c r="B12" s="4" t="s">
        <v>153</v>
      </c>
      <c r="C12" s="5">
        <v>43514</v>
      </c>
      <c r="D12" s="4" t="s">
        <v>154</v>
      </c>
      <c r="E12" s="4" t="s">
        <v>155</v>
      </c>
      <c r="F12" s="4" t="s">
        <v>3</v>
      </c>
      <c r="G12" s="4" t="s">
        <v>4</v>
      </c>
      <c r="H12" s="4" t="s">
        <v>119</v>
      </c>
      <c r="I12" s="5">
        <v>43511</v>
      </c>
      <c r="J12" s="6">
        <v>0.6618518518518518</v>
      </c>
      <c r="K12" s="5">
        <v>43515</v>
      </c>
      <c r="L12" s="4" t="s">
        <v>6</v>
      </c>
      <c r="M12" s="4"/>
      <c r="N12" s="4" t="s">
        <v>156</v>
      </c>
      <c r="O12" s="4" t="s">
        <v>157</v>
      </c>
      <c r="P12" s="4" t="s">
        <v>158</v>
      </c>
      <c r="Q12" s="4" t="s">
        <v>4</v>
      </c>
      <c r="R12" s="4" t="s">
        <v>4</v>
      </c>
      <c r="S12" s="4" t="s">
        <v>10</v>
      </c>
      <c r="T12" s="4"/>
      <c r="U12" s="4"/>
      <c r="V12" s="4"/>
      <c r="W12" s="4" t="s">
        <v>27</v>
      </c>
      <c r="X12" s="4" t="s">
        <v>159</v>
      </c>
      <c r="Y12" s="4" t="s">
        <v>159</v>
      </c>
      <c r="Z12" s="4" t="s">
        <v>160</v>
      </c>
      <c r="AA12" s="4" t="s">
        <v>161</v>
      </c>
      <c r="AB12" s="4" t="s">
        <v>162</v>
      </c>
      <c r="AC12" s="4" t="s">
        <v>163</v>
      </c>
      <c r="AD12" s="4" t="s">
        <v>17</v>
      </c>
      <c r="AE12" s="4" t="s">
        <v>18</v>
      </c>
      <c r="AF12" s="4" t="s">
        <v>19</v>
      </c>
      <c r="AG12" s="4" t="s">
        <v>19</v>
      </c>
      <c r="AH12" s="4" t="s">
        <v>162</v>
      </c>
    </row>
    <row r="13" spans="2:34" ht="15">
      <c r="B13" s="1" t="s">
        <v>153</v>
      </c>
      <c r="C13" s="2">
        <v>43514</v>
      </c>
      <c r="D13" s="1" t="s">
        <v>154</v>
      </c>
      <c r="E13" s="1" t="s">
        <v>164</v>
      </c>
      <c r="F13" s="1" t="s">
        <v>3</v>
      </c>
      <c r="G13" s="1" t="s">
        <v>4</v>
      </c>
      <c r="H13" s="1" t="s">
        <v>23</v>
      </c>
      <c r="I13" s="2">
        <v>43511</v>
      </c>
      <c r="J13" s="3">
        <v>0.6731828703703704</v>
      </c>
      <c r="K13" s="2">
        <v>43515</v>
      </c>
      <c r="L13" s="1" t="s">
        <v>6</v>
      </c>
      <c r="M13" s="1"/>
      <c r="N13" s="1" t="s">
        <v>165</v>
      </c>
      <c r="O13" s="1" t="s">
        <v>166</v>
      </c>
      <c r="P13" s="1" t="s">
        <v>167</v>
      </c>
      <c r="Q13" s="1" t="s">
        <v>4</v>
      </c>
      <c r="R13" s="1" t="s">
        <v>4</v>
      </c>
      <c r="S13" s="1" t="s">
        <v>10</v>
      </c>
      <c r="T13" s="1"/>
      <c r="U13" s="1"/>
      <c r="V13" s="1"/>
      <c r="W13" s="1" t="s">
        <v>27</v>
      </c>
      <c r="X13" s="1" t="s">
        <v>168</v>
      </c>
      <c r="Y13" s="1" t="s">
        <v>168</v>
      </c>
      <c r="Z13" s="1" t="s">
        <v>169</v>
      </c>
      <c r="AA13" s="1" t="s">
        <v>170</v>
      </c>
      <c r="AB13" s="1" t="s">
        <v>171</v>
      </c>
      <c r="AC13" s="1" t="s">
        <v>172</v>
      </c>
      <c r="AD13" s="1" t="s">
        <v>17</v>
      </c>
      <c r="AE13" s="1" t="s">
        <v>18</v>
      </c>
      <c r="AF13" s="1" t="s">
        <v>19</v>
      </c>
      <c r="AG13" s="1" t="s">
        <v>19</v>
      </c>
      <c r="AH13" s="1" t="s">
        <v>171</v>
      </c>
    </row>
    <row r="14" spans="2:34" ht="15">
      <c r="B14" s="4" t="s">
        <v>153</v>
      </c>
      <c r="C14" s="5">
        <v>43514</v>
      </c>
      <c r="D14" s="4" t="s">
        <v>154</v>
      </c>
      <c r="E14" s="4" t="s">
        <v>173</v>
      </c>
      <c r="F14" s="4" t="s">
        <v>3</v>
      </c>
      <c r="G14" s="4" t="s">
        <v>4</v>
      </c>
      <c r="H14" s="4" t="s">
        <v>23</v>
      </c>
      <c r="I14" s="5">
        <v>43511</v>
      </c>
      <c r="J14" s="6">
        <v>0.5613310185185185</v>
      </c>
      <c r="K14" s="5">
        <v>43515</v>
      </c>
      <c r="L14" s="4" t="s">
        <v>6</v>
      </c>
      <c r="M14" s="4"/>
      <c r="N14" s="4" t="s">
        <v>174</v>
      </c>
      <c r="O14" s="4" t="s">
        <v>175</v>
      </c>
      <c r="P14" s="4" t="s">
        <v>176</v>
      </c>
      <c r="Q14" s="4" t="s">
        <v>4</v>
      </c>
      <c r="R14" s="4" t="s">
        <v>4</v>
      </c>
      <c r="S14" s="4" t="s">
        <v>10</v>
      </c>
      <c r="T14" s="4"/>
      <c r="U14" s="4"/>
      <c r="V14" s="4"/>
      <c r="W14" s="4" t="s">
        <v>27</v>
      </c>
      <c r="X14" s="4" t="s">
        <v>177</v>
      </c>
      <c r="Y14" s="4" t="s">
        <v>177</v>
      </c>
      <c r="Z14" s="4" t="s">
        <v>178</v>
      </c>
      <c r="AA14" s="4" t="s">
        <v>179</v>
      </c>
      <c r="AB14" s="4" t="s">
        <v>180</v>
      </c>
      <c r="AC14" s="4" t="s">
        <v>181</v>
      </c>
      <c r="AD14" s="4" t="s">
        <v>17</v>
      </c>
      <c r="AE14" s="4" t="s">
        <v>18</v>
      </c>
      <c r="AF14" s="4" t="s">
        <v>19</v>
      </c>
      <c r="AG14" s="4" t="s">
        <v>19</v>
      </c>
      <c r="AH14" s="4" t="s">
        <v>180</v>
      </c>
    </row>
    <row r="15" spans="2:34" ht="15">
      <c r="B15" s="1" t="s">
        <v>153</v>
      </c>
      <c r="C15" s="2">
        <v>43514</v>
      </c>
      <c r="D15" s="1" t="s">
        <v>154</v>
      </c>
      <c r="E15" s="1" t="s">
        <v>182</v>
      </c>
      <c r="F15" s="1" t="s">
        <v>3</v>
      </c>
      <c r="G15" s="1" t="s">
        <v>4</v>
      </c>
      <c r="H15" s="1" t="s">
        <v>183</v>
      </c>
      <c r="I15" s="2">
        <v>43511</v>
      </c>
      <c r="J15" s="3">
        <v>0.6847337962962963</v>
      </c>
      <c r="K15" s="2">
        <v>43515</v>
      </c>
      <c r="L15" s="1" t="s">
        <v>6</v>
      </c>
      <c r="M15" s="1"/>
      <c r="N15" s="1" t="s">
        <v>184</v>
      </c>
      <c r="O15" s="1" t="s">
        <v>185</v>
      </c>
      <c r="P15" s="1" t="s">
        <v>186</v>
      </c>
      <c r="Q15" s="1" t="s">
        <v>4</v>
      </c>
      <c r="R15" s="1" t="s">
        <v>4</v>
      </c>
      <c r="S15" s="1" t="s">
        <v>10</v>
      </c>
      <c r="T15" s="1"/>
      <c r="U15" s="1"/>
      <c r="V15" s="1"/>
      <c r="W15" s="1" t="s">
        <v>27</v>
      </c>
      <c r="X15" s="1" t="s">
        <v>187</v>
      </c>
      <c r="Y15" s="1" t="s">
        <v>187</v>
      </c>
      <c r="Z15" s="1" t="s">
        <v>188</v>
      </c>
      <c r="AA15" s="1" t="s">
        <v>189</v>
      </c>
      <c r="AB15" s="1" t="s">
        <v>190</v>
      </c>
      <c r="AC15" s="1" t="s">
        <v>191</v>
      </c>
      <c r="AD15" s="1" t="s">
        <v>17</v>
      </c>
      <c r="AE15" s="1" t="s">
        <v>192</v>
      </c>
      <c r="AF15" s="1" t="s">
        <v>19</v>
      </c>
      <c r="AG15" s="1" t="s">
        <v>19</v>
      </c>
      <c r="AH15" s="1" t="s">
        <v>190</v>
      </c>
    </row>
    <row r="16" spans="2:34" ht="15">
      <c r="B16" s="4" t="s">
        <v>153</v>
      </c>
      <c r="C16" s="5">
        <v>43514</v>
      </c>
      <c r="D16" s="4" t="s">
        <v>154</v>
      </c>
      <c r="E16" s="4" t="s">
        <v>193</v>
      </c>
      <c r="F16" s="4" t="s">
        <v>3</v>
      </c>
      <c r="G16" s="4" t="s">
        <v>4</v>
      </c>
      <c r="H16" s="4" t="s">
        <v>119</v>
      </c>
      <c r="I16" s="5">
        <v>43511</v>
      </c>
      <c r="J16" s="6">
        <v>0.5672222222222222</v>
      </c>
      <c r="K16" s="5">
        <v>43515</v>
      </c>
      <c r="L16" s="4" t="s">
        <v>6</v>
      </c>
      <c r="M16" s="4"/>
      <c r="N16" s="4" t="s">
        <v>194</v>
      </c>
      <c r="O16" s="4" t="s">
        <v>195</v>
      </c>
      <c r="P16" s="4" t="s">
        <v>196</v>
      </c>
      <c r="Q16" s="4" t="s">
        <v>4</v>
      </c>
      <c r="R16" s="4" t="s">
        <v>4</v>
      </c>
      <c r="S16" s="4" t="s">
        <v>10</v>
      </c>
      <c r="T16" s="4"/>
      <c r="U16" s="4"/>
      <c r="V16" s="4"/>
      <c r="W16" s="4" t="s">
        <v>27</v>
      </c>
      <c r="X16" s="4" t="s">
        <v>197</v>
      </c>
      <c r="Y16" s="4" t="s">
        <v>197</v>
      </c>
      <c r="Z16" s="4" t="s">
        <v>198</v>
      </c>
      <c r="AA16" s="4" t="s">
        <v>199</v>
      </c>
      <c r="AB16" s="4" t="s">
        <v>200</v>
      </c>
      <c r="AC16" s="4" t="s">
        <v>201</v>
      </c>
      <c r="AD16" s="4" t="s">
        <v>17</v>
      </c>
      <c r="AE16" s="4" t="s">
        <v>202</v>
      </c>
      <c r="AF16" s="4" t="s">
        <v>19</v>
      </c>
      <c r="AG16" s="4" t="s">
        <v>19</v>
      </c>
      <c r="AH16" s="4" t="s">
        <v>200</v>
      </c>
    </row>
    <row r="17" spans="2:34" ht="15">
      <c r="B17" s="1" t="s">
        <v>153</v>
      </c>
      <c r="C17" s="2">
        <v>43514</v>
      </c>
      <c r="D17" s="1" t="s">
        <v>154</v>
      </c>
      <c r="E17" s="1" t="s">
        <v>203</v>
      </c>
      <c r="F17" s="1" t="s">
        <v>3</v>
      </c>
      <c r="G17" s="1" t="s">
        <v>4</v>
      </c>
      <c r="H17" s="1" t="s">
        <v>119</v>
      </c>
      <c r="I17" s="2">
        <v>43511</v>
      </c>
      <c r="J17" s="3">
        <v>0.5934143518518519</v>
      </c>
      <c r="K17" s="2">
        <v>43515</v>
      </c>
      <c r="L17" s="1" t="s">
        <v>6</v>
      </c>
      <c r="M17" s="1"/>
      <c r="N17" s="1" t="s">
        <v>204</v>
      </c>
      <c r="O17" s="1" t="s">
        <v>205</v>
      </c>
      <c r="P17" s="1" t="s">
        <v>206</v>
      </c>
      <c r="Q17" s="1" t="s">
        <v>4</v>
      </c>
      <c r="R17" s="1" t="s">
        <v>4</v>
      </c>
      <c r="S17" s="1" t="s">
        <v>10</v>
      </c>
      <c r="T17" s="1"/>
      <c r="U17" s="1"/>
      <c r="V17" s="1"/>
      <c r="W17" s="1" t="s">
        <v>27</v>
      </c>
      <c r="X17" s="1" t="s">
        <v>207</v>
      </c>
      <c r="Y17" s="1" t="s">
        <v>207</v>
      </c>
      <c r="Z17" s="1" t="s">
        <v>208</v>
      </c>
      <c r="AA17" s="1" t="s">
        <v>209</v>
      </c>
      <c r="AB17" s="1" t="s">
        <v>210</v>
      </c>
      <c r="AC17" s="1" t="s">
        <v>211</v>
      </c>
      <c r="AD17" s="1" t="s">
        <v>17</v>
      </c>
      <c r="AE17" s="1" t="s">
        <v>212</v>
      </c>
      <c r="AF17" s="1" t="s">
        <v>19</v>
      </c>
      <c r="AG17" s="1" t="s">
        <v>19</v>
      </c>
      <c r="AH17" s="1" t="s">
        <v>210</v>
      </c>
    </row>
    <row r="18" spans="2:34" ht="15">
      <c r="B18" s="4" t="s">
        <v>153</v>
      </c>
      <c r="C18" s="5">
        <v>43514</v>
      </c>
      <c r="D18" s="4" t="s">
        <v>154</v>
      </c>
      <c r="E18" s="4" t="s">
        <v>213</v>
      </c>
      <c r="F18" s="4" t="s">
        <v>3</v>
      </c>
      <c r="G18" s="4" t="s">
        <v>4</v>
      </c>
      <c r="H18" s="4" t="s">
        <v>119</v>
      </c>
      <c r="I18" s="5">
        <v>43511</v>
      </c>
      <c r="J18" s="6">
        <v>0.5634259259259259</v>
      </c>
      <c r="K18" s="5">
        <v>43515</v>
      </c>
      <c r="L18" s="4" t="s">
        <v>6</v>
      </c>
      <c r="M18" s="4"/>
      <c r="N18" s="4" t="s">
        <v>214</v>
      </c>
      <c r="O18" s="4" t="s">
        <v>215</v>
      </c>
      <c r="P18" s="4" t="s">
        <v>216</v>
      </c>
      <c r="Q18" s="4" t="s">
        <v>4</v>
      </c>
      <c r="R18" s="4" t="s">
        <v>4</v>
      </c>
      <c r="S18" s="4" t="s">
        <v>10</v>
      </c>
      <c r="T18" s="4"/>
      <c r="U18" s="4"/>
      <c r="V18" s="4"/>
      <c r="W18" s="4" t="s">
        <v>27</v>
      </c>
      <c r="X18" s="4" t="s">
        <v>159</v>
      </c>
      <c r="Y18" s="4" t="s">
        <v>159</v>
      </c>
      <c r="Z18" s="4" t="s">
        <v>217</v>
      </c>
      <c r="AA18" s="4" t="s">
        <v>218</v>
      </c>
      <c r="AB18" s="4" t="s">
        <v>219</v>
      </c>
      <c r="AC18" s="4" t="s">
        <v>220</v>
      </c>
      <c r="AD18" s="4" t="s">
        <v>17</v>
      </c>
      <c r="AE18" s="4" t="s">
        <v>221</v>
      </c>
      <c r="AF18" s="4" t="s">
        <v>19</v>
      </c>
      <c r="AG18" s="4" t="s">
        <v>19</v>
      </c>
      <c r="AH18" s="4" t="s">
        <v>219</v>
      </c>
    </row>
    <row r="19" spans="2:34" ht="15">
      <c r="B19" s="1" t="s">
        <v>153</v>
      </c>
      <c r="C19" s="2">
        <v>43514</v>
      </c>
      <c r="D19" s="1" t="s">
        <v>154</v>
      </c>
      <c r="E19" s="1" t="s">
        <v>222</v>
      </c>
      <c r="F19" s="1" t="s">
        <v>3</v>
      </c>
      <c r="G19" s="1" t="s">
        <v>4</v>
      </c>
      <c r="H19" s="1" t="s">
        <v>119</v>
      </c>
      <c r="I19" s="2">
        <v>43511</v>
      </c>
      <c r="J19" s="3">
        <v>0.5466898148148148</v>
      </c>
      <c r="K19" s="2">
        <v>43515</v>
      </c>
      <c r="L19" s="1" t="s">
        <v>6</v>
      </c>
      <c r="M19" s="1"/>
      <c r="N19" s="1" t="s">
        <v>223</v>
      </c>
      <c r="O19" s="1" t="s">
        <v>224</v>
      </c>
      <c r="P19" s="1" t="s">
        <v>225</v>
      </c>
      <c r="Q19" s="1" t="s">
        <v>4</v>
      </c>
      <c r="R19" s="1" t="s">
        <v>4</v>
      </c>
      <c r="S19" s="1" t="s">
        <v>10</v>
      </c>
      <c r="T19" s="1"/>
      <c r="U19" s="1"/>
      <c r="V19" s="1"/>
      <c r="W19" s="1" t="s">
        <v>27</v>
      </c>
      <c r="X19" s="1" t="s">
        <v>226</v>
      </c>
      <c r="Y19" s="1" t="s">
        <v>226</v>
      </c>
      <c r="Z19" s="1" t="s">
        <v>208</v>
      </c>
      <c r="AA19" s="1" t="s">
        <v>227</v>
      </c>
      <c r="AB19" s="1" t="s">
        <v>228</v>
      </c>
      <c r="AC19" s="1" t="s">
        <v>229</v>
      </c>
      <c r="AD19" s="1" t="s">
        <v>17</v>
      </c>
      <c r="AE19" s="1" t="s">
        <v>230</v>
      </c>
      <c r="AF19" s="1" t="s">
        <v>19</v>
      </c>
      <c r="AG19" s="1" t="s">
        <v>19</v>
      </c>
      <c r="AH19" s="1" t="s">
        <v>228</v>
      </c>
    </row>
    <row r="20" spans="2:34" ht="15">
      <c r="B20" s="4" t="s">
        <v>153</v>
      </c>
      <c r="C20" s="5">
        <v>43514</v>
      </c>
      <c r="D20" s="4" t="s">
        <v>154</v>
      </c>
      <c r="E20" s="4" t="s">
        <v>231</v>
      </c>
      <c r="F20" s="4" t="s">
        <v>3</v>
      </c>
      <c r="G20" s="4" t="s">
        <v>4</v>
      </c>
      <c r="H20" s="4" t="s">
        <v>109</v>
      </c>
      <c r="I20" s="5">
        <v>43511</v>
      </c>
      <c r="J20" s="6">
        <v>0.5673611111111111</v>
      </c>
      <c r="K20" s="5">
        <v>43515</v>
      </c>
      <c r="L20" s="4" t="s">
        <v>6</v>
      </c>
      <c r="M20" s="4"/>
      <c r="N20" s="4" t="s">
        <v>232</v>
      </c>
      <c r="O20" s="4" t="s">
        <v>233</v>
      </c>
      <c r="P20" s="4" t="s">
        <v>234</v>
      </c>
      <c r="Q20" s="4" t="s">
        <v>4</v>
      </c>
      <c r="R20" s="4" t="s">
        <v>4</v>
      </c>
      <c r="S20" s="4" t="s">
        <v>10</v>
      </c>
      <c r="T20" s="4"/>
      <c r="U20" s="4"/>
      <c r="V20" s="4"/>
      <c r="W20" s="4" t="s">
        <v>27</v>
      </c>
      <c r="X20" s="4" t="s">
        <v>235</v>
      </c>
      <c r="Y20" s="4" t="s">
        <v>235</v>
      </c>
      <c r="Z20" s="4" t="s">
        <v>236</v>
      </c>
      <c r="AA20" s="4" t="s">
        <v>237</v>
      </c>
      <c r="AB20" s="4" t="s">
        <v>238</v>
      </c>
      <c r="AC20" s="4" t="s">
        <v>239</v>
      </c>
      <c r="AD20" s="4" t="s">
        <v>17</v>
      </c>
      <c r="AE20" s="4" t="s">
        <v>18</v>
      </c>
      <c r="AF20" s="4" t="s">
        <v>19</v>
      </c>
      <c r="AG20" s="4" t="s">
        <v>19</v>
      </c>
      <c r="AH20" s="4" t="s">
        <v>238</v>
      </c>
    </row>
    <row r="21" spans="2:34" ht="15">
      <c r="B21" s="1" t="s">
        <v>153</v>
      </c>
      <c r="C21" s="2">
        <v>43514</v>
      </c>
      <c r="D21" s="1" t="s">
        <v>154</v>
      </c>
      <c r="E21" s="1" t="s">
        <v>240</v>
      </c>
      <c r="F21" s="1" t="s">
        <v>3</v>
      </c>
      <c r="G21" s="1" t="s">
        <v>4</v>
      </c>
      <c r="H21" s="1" t="s">
        <v>109</v>
      </c>
      <c r="I21" s="2">
        <v>43511</v>
      </c>
      <c r="J21" s="3">
        <v>0.6465277777777778</v>
      </c>
      <c r="K21" s="2">
        <v>43515</v>
      </c>
      <c r="L21" s="1" t="s">
        <v>6</v>
      </c>
      <c r="M21" s="1"/>
      <c r="N21" s="1" t="s">
        <v>241</v>
      </c>
      <c r="O21" s="1" t="s">
        <v>242</v>
      </c>
      <c r="P21" s="1" t="s">
        <v>243</v>
      </c>
      <c r="Q21" s="1" t="s">
        <v>4</v>
      </c>
      <c r="R21" s="1" t="s">
        <v>4</v>
      </c>
      <c r="S21" s="1" t="s">
        <v>10</v>
      </c>
      <c r="T21" s="1"/>
      <c r="U21" s="1"/>
      <c r="V21" s="1"/>
      <c r="W21" s="1" t="s">
        <v>27</v>
      </c>
      <c r="X21" s="1" t="s">
        <v>244</v>
      </c>
      <c r="Y21" s="1" t="s">
        <v>244</v>
      </c>
      <c r="Z21" s="1" t="s">
        <v>245</v>
      </c>
      <c r="AA21" s="1" t="s">
        <v>246</v>
      </c>
      <c r="AB21" s="1" t="s">
        <v>247</v>
      </c>
      <c r="AC21" s="1" t="s">
        <v>248</v>
      </c>
      <c r="AD21" s="1" t="s">
        <v>17</v>
      </c>
      <c r="AE21" s="1" t="s">
        <v>18</v>
      </c>
      <c r="AF21" s="1" t="s">
        <v>19</v>
      </c>
      <c r="AG21" s="1" t="s">
        <v>19</v>
      </c>
      <c r="AH21" s="1" t="s">
        <v>247</v>
      </c>
    </row>
    <row r="22" spans="2:34" ht="15">
      <c r="B22" s="4" t="s">
        <v>153</v>
      </c>
      <c r="C22" s="5">
        <v>43514</v>
      </c>
      <c r="D22" s="4" t="s">
        <v>154</v>
      </c>
      <c r="E22" s="4" t="s">
        <v>249</v>
      </c>
      <c r="F22" s="4" t="s">
        <v>3</v>
      </c>
      <c r="G22" s="4" t="s">
        <v>4</v>
      </c>
      <c r="H22" s="4" t="s">
        <v>119</v>
      </c>
      <c r="I22" s="5">
        <v>43511</v>
      </c>
      <c r="J22" s="6">
        <v>0.6406828703703704</v>
      </c>
      <c r="K22" s="5">
        <v>43515</v>
      </c>
      <c r="L22" s="4" t="s">
        <v>6</v>
      </c>
      <c r="M22" s="4"/>
      <c r="N22" s="4" t="s">
        <v>250</v>
      </c>
      <c r="O22" s="4" t="s">
        <v>251</v>
      </c>
      <c r="P22" s="4" t="s">
        <v>252</v>
      </c>
      <c r="Q22" s="4" t="s">
        <v>4</v>
      </c>
      <c r="R22" s="4" t="s">
        <v>4</v>
      </c>
      <c r="S22" s="4" t="s">
        <v>10</v>
      </c>
      <c r="T22" s="4"/>
      <c r="U22" s="4"/>
      <c r="V22" s="4"/>
      <c r="W22" s="4" t="s">
        <v>27</v>
      </c>
      <c r="X22" s="4" t="s">
        <v>253</v>
      </c>
      <c r="Y22" s="4" t="s">
        <v>253</v>
      </c>
      <c r="Z22" s="4" t="s">
        <v>254</v>
      </c>
      <c r="AA22" s="4" t="s">
        <v>255</v>
      </c>
      <c r="AB22" s="4" t="s">
        <v>256</v>
      </c>
      <c r="AC22" s="4" t="s">
        <v>257</v>
      </c>
      <c r="AD22" s="4" t="s">
        <v>17</v>
      </c>
      <c r="AE22" s="4" t="s">
        <v>258</v>
      </c>
      <c r="AF22" s="4" t="s">
        <v>19</v>
      </c>
      <c r="AG22" s="4" t="s">
        <v>19</v>
      </c>
      <c r="AH22" s="4" t="s">
        <v>256</v>
      </c>
    </row>
    <row r="23" spans="2:34" ht="15">
      <c r="B23" s="1" t="s">
        <v>153</v>
      </c>
      <c r="C23" s="2">
        <v>43514</v>
      </c>
      <c r="D23" s="1" t="s">
        <v>154</v>
      </c>
      <c r="E23" s="1" t="s">
        <v>259</v>
      </c>
      <c r="F23" s="1" t="s">
        <v>3</v>
      </c>
      <c r="G23" s="1" t="s">
        <v>4</v>
      </c>
      <c r="H23" s="1" t="s">
        <v>183</v>
      </c>
      <c r="I23" s="2">
        <v>43511</v>
      </c>
      <c r="J23" s="3">
        <v>0.6305324074074075</v>
      </c>
      <c r="K23" s="2">
        <v>43515</v>
      </c>
      <c r="L23" s="1" t="s">
        <v>6</v>
      </c>
      <c r="M23" s="1"/>
      <c r="N23" s="1" t="s">
        <v>260</v>
      </c>
      <c r="O23" s="1" t="s">
        <v>261</v>
      </c>
      <c r="P23" s="1" t="s">
        <v>262</v>
      </c>
      <c r="Q23" s="1" t="s">
        <v>4</v>
      </c>
      <c r="R23" s="1" t="s">
        <v>4</v>
      </c>
      <c r="S23" s="1" t="s">
        <v>10</v>
      </c>
      <c r="T23" s="1"/>
      <c r="U23" s="1"/>
      <c r="V23" s="1"/>
      <c r="W23" s="1" t="s">
        <v>27</v>
      </c>
      <c r="X23" s="1" t="s">
        <v>263</v>
      </c>
      <c r="Y23" s="1" t="s">
        <v>263</v>
      </c>
      <c r="Z23" s="1" t="s">
        <v>264</v>
      </c>
      <c r="AA23" s="1" t="s">
        <v>265</v>
      </c>
      <c r="AB23" s="1" t="s">
        <v>266</v>
      </c>
      <c r="AC23" s="1" t="s">
        <v>267</v>
      </c>
      <c r="AD23" s="1" t="s">
        <v>17</v>
      </c>
      <c r="AE23" s="1" t="s">
        <v>18</v>
      </c>
      <c r="AF23" s="1" t="s">
        <v>19</v>
      </c>
      <c r="AG23" s="1" t="s">
        <v>19</v>
      </c>
      <c r="AH23" s="1" t="s">
        <v>266</v>
      </c>
    </row>
    <row r="24" spans="2:34" ht="15">
      <c r="B24" s="4" t="s">
        <v>153</v>
      </c>
      <c r="C24" s="5">
        <v>43514</v>
      </c>
      <c r="D24" s="4" t="s">
        <v>154</v>
      </c>
      <c r="E24" s="4" t="s">
        <v>268</v>
      </c>
      <c r="F24" s="4" t="s">
        <v>3</v>
      </c>
      <c r="G24" s="4" t="s">
        <v>4</v>
      </c>
      <c r="H24" s="4" t="s">
        <v>119</v>
      </c>
      <c r="I24" s="5">
        <v>43511</v>
      </c>
      <c r="J24" s="6">
        <v>0.6785416666666667</v>
      </c>
      <c r="K24" s="5">
        <v>43515</v>
      </c>
      <c r="L24" s="4" t="s">
        <v>6</v>
      </c>
      <c r="M24" s="4"/>
      <c r="N24" s="4" t="s">
        <v>269</v>
      </c>
      <c r="O24" s="4" t="s">
        <v>270</v>
      </c>
      <c r="P24" s="4" t="s">
        <v>271</v>
      </c>
      <c r="Q24" s="4" t="s">
        <v>4</v>
      </c>
      <c r="R24" s="4" t="s">
        <v>4</v>
      </c>
      <c r="S24" s="4" t="s">
        <v>10</v>
      </c>
      <c r="T24" s="4"/>
      <c r="U24" s="4"/>
      <c r="V24" s="4"/>
      <c r="W24" s="4" t="s">
        <v>27</v>
      </c>
      <c r="X24" s="4" t="s">
        <v>272</v>
      </c>
      <c r="Y24" s="4" t="s">
        <v>272</v>
      </c>
      <c r="Z24" s="4" t="s">
        <v>273</v>
      </c>
      <c r="AA24" s="4" t="s">
        <v>274</v>
      </c>
      <c r="AB24" s="4" t="s">
        <v>275</v>
      </c>
      <c r="AC24" s="4" t="s">
        <v>276</v>
      </c>
      <c r="AD24" s="4" t="s">
        <v>17</v>
      </c>
      <c r="AE24" s="4" t="s">
        <v>17</v>
      </c>
      <c r="AF24" s="4" t="s">
        <v>19</v>
      </c>
      <c r="AG24" s="4" t="s">
        <v>19</v>
      </c>
      <c r="AH24" s="4" t="s">
        <v>275</v>
      </c>
    </row>
    <row r="25" spans="2:34" ht="15">
      <c r="B25" s="1" t="s">
        <v>153</v>
      </c>
      <c r="C25" s="2">
        <v>43514</v>
      </c>
      <c r="D25" s="1" t="s">
        <v>154</v>
      </c>
      <c r="E25" s="1" t="s">
        <v>277</v>
      </c>
      <c r="F25" s="1" t="s">
        <v>3</v>
      </c>
      <c r="G25" s="1" t="s">
        <v>4</v>
      </c>
      <c r="H25" s="1" t="s">
        <v>119</v>
      </c>
      <c r="I25" s="2">
        <v>43511</v>
      </c>
      <c r="J25" s="3">
        <v>0.5719907407407407</v>
      </c>
      <c r="K25" s="2">
        <v>43515</v>
      </c>
      <c r="L25" s="1" t="s">
        <v>6</v>
      </c>
      <c r="M25" s="1"/>
      <c r="N25" s="1" t="s">
        <v>278</v>
      </c>
      <c r="O25" s="1" t="s">
        <v>279</v>
      </c>
      <c r="P25" s="1" t="s">
        <v>280</v>
      </c>
      <c r="Q25" s="1" t="s">
        <v>4</v>
      </c>
      <c r="R25" s="1" t="s">
        <v>4</v>
      </c>
      <c r="S25" s="1" t="s">
        <v>10</v>
      </c>
      <c r="T25" s="1"/>
      <c r="U25" s="1"/>
      <c r="V25" s="1"/>
      <c r="W25" s="1" t="s">
        <v>27</v>
      </c>
      <c r="X25" s="1" t="s">
        <v>281</v>
      </c>
      <c r="Y25" s="1" t="s">
        <v>281</v>
      </c>
      <c r="Z25" s="1" t="s">
        <v>282</v>
      </c>
      <c r="AA25" s="1" t="s">
        <v>283</v>
      </c>
      <c r="AB25" s="1" t="s">
        <v>284</v>
      </c>
      <c r="AC25" s="1" t="s">
        <v>285</v>
      </c>
      <c r="AD25" s="1" t="s">
        <v>17</v>
      </c>
      <c r="AE25" s="1" t="s">
        <v>286</v>
      </c>
      <c r="AF25" s="1" t="s">
        <v>19</v>
      </c>
      <c r="AG25" s="1" t="s">
        <v>19</v>
      </c>
      <c r="AH25" s="1" t="s">
        <v>284</v>
      </c>
    </row>
    <row r="26" spans="2:34" ht="15">
      <c r="B26" s="4" t="s">
        <v>153</v>
      </c>
      <c r="C26" s="5">
        <v>43514</v>
      </c>
      <c r="D26" s="4" t="s">
        <v>154</v>
      </c>
      <c r="E26" s="4" t="s">
        <v>287</v>
      </c>
      <c r="F26" s="4" t="s">
        <v>3</v>
      </c>
      <c r="G26" s="4" t="s">
        <v>4</v>
      </c>
      <c r="H26" s="4" t="s">
        <v>119</v>
      </c>
      <c r="I26" s="5">
        <v>43511</v>
      </c>
      <c r="J26" s="6">
        <v>0.5567476851851851</v>
      </c>
      <c r="K26" s="5">
        <v>43515</v>
      </c>
      <c r="L26" s="4" t="s">
        <v>6</v>
      </c>
      <c r="M26" s="4"/>
      <c r="N26" s="4" t="s">
        <v>288</v>
      </c>
      <c r="O26" s="4" t="s">
        <v>289</v>
      </c>
      <c r="P26" s="4" t="s">
        <v>290</v>
      </c>
      <c r="Q26" s="4" t="s">
        <v>4</v>
      </c>
      <c r="R26" s="4" t="s">
        <v>4</v>
      </c>
      <c r="S26" s="4" t="s">
        <v>10</v>
      </c>
      <c r="T26" s="4"/>
      <c r="U26" s="4"/>
      <c r="V26" s="4"/>
      <c r="W26" s="4" t="s">
        <v>27</v>
      </c>
      <c r="X26" s="4" t="s">
        <v>291</v>
      </c>
      <c r="Y26" s="4" t="s">
        <v>291</v>
      </c>
      <c r="Z26" s="4" t="s">
        <v>292</v>
      </c>
      <c r="AA26" s="4" t="s">
        <v>293</v>
      </c>
      <c r="AB26" s="4" t="s">
        <v>294</v>
      </c>
      <c r="AC26" s="4" t="s">
        <v>295</v>
      </c>
      <c r="AD26" s="4" t="s">
        <v>17</v>
      </c>
      <c r="AE26" s="4" t="s">
        <v>18</v>
      </c>
      <c r="AF26" s="4" t="s">
        <v>19</v>
      </c>
      <c r="AG26" s="4" t="s">
        <v>19</v>
      </c>
      <c r="AH26" s="4" t="s">
        <v>294</v>
      </c>
    </row>
    <row r="27" spans="2:34" ht="15">
      <c r="B27" s="1" t="s">
        <v>153</v>
      </c>
      <c r="C27" s="2">
        <v>43514</v>
      </c>
      <c r="D27" s="1" t="s">
        <v>154</v>
      </c>
      <c r="E27" s="1" t="s">
        <v>296</v>
      </c>
      <c r="F27" s="1" t="s">
        <v>3</v>
      </c>
      <c r="G27" s="1" t="s">
        <v>4</v>
      </c>
      <c r="H27" s="1" t="s">
        <v>119</v>
      </c>
      <c r="I27" s="2">
        <v>43511</v>
      </c>
      <c r="J27" s="3">
        <v>0.6378125</v>
      </c>
      <c r="K27" s="2">
        <v>43515</v>
      </c>
      <c r="L27" s="1" t="s">
        <v>6</v>
      </c>
      <c r="M27" s="1"/>
      <c r="N27" s="1" t="s">
        <v>297</v>
      </c>
      <c r="O27" s="1" t="s">
        <v>298</v>
      </c>
      <c r="P27" s="1" t="s">
        <v>299</v>
      </c>
      <c r="Q27" s="1" t="s">
        <v>4</v>
      </c>
      <c r="R27" s="1" t="s">
        <v>4</v>
      </c>
      <c r="S27" s="1" t="s">
        <v>10</v>
      </c>
      <c r="T27" s="1"/>
      <c r="U27" s="1"/>
      <c r="V27" s="1"/>
      <c r="W27" s="1" t="s">
        <v>27</v>
      </c>
      <c r="X27" s="1" t="s">
        <v>300</v>
      </c>
      <c r="Y27" s="1" t="s">
        <v>300</v>
      </c>
      <c r="Z27" s="1" t="s">
        <v>301</v>
      </c>
      <c r="AA27" s="1" t="s">
        <v>302</v>
      </c>
      <c r="AB27" s="1" t="s">
        <v>303</v>
      </c>
      <c r="AC27" s="1" t="s">
        <v>304</v>
      </c>
      <c r="AD27" s="1" t="s">
        <v>17</v>
      </c>
      <c r="AE27" s="1" t="s">
        <v>305</v>
      </c>
      <c r="AF27" s="1" t="s">
        <v>19</v>
      </c>
      <c r="AG27" s="1" t="s">
        <v>19</v>
      </c>
      <c r="AH27" s="1" t="s">
        <v>303</v>
      </c>
    </row>
    <row r="28" spans="2:34" ht="15">
      <c r="B28" s="4" t="s">
        <v>153</v>
      </c>
      <c r="C28" s="5">
        <v>43514</v>
      </c>
      <c r="D28" s="4" t="s">
        <v>154</v>
      </c>
      <c r="E28" s="4" t="s">
        <v>306</v>
      </c>
      <c r="F28" s="4" t="s">
        <v>3</v>
      </c>
      <c r="G28" s="4" t="s">
        <v>4</v>
      </c>
      <c r="H28" s="4" t="s">
        <v>119</v>
      </c>
      <c r="I28" s="5">
        <v>43511</v>
      </c>
      <c r="J28" s="6">
        <v>0.6480208333333334</v>
      </c>
      <c r="K28" s="5">
        <v>43515</v>
      </c>
      <c r="L28" s="4" t="s">
        <v>6</v>
      </c>
      <c r="M28" s="4"/>
      <c r="N28" s="4" t="s">
        <v>307</v>
      </c>
      <c r="O28" s="4" t="s">
        <v>308</v>
      </c>
      <c r="P28" s="4" t="s">
        <v>309</v>
      </c>
      <c r="Q28" s="4" t="s">
        <v>4</v>
      </c>
      <c r="R28" s="4" t="s">
        <v>4</v>
      </c>
      <c r="S28" s="4" t="s">
        <v>10</v>
      </c>
      <c r="T28" s="4"/>
      <c r="U28" s="4"/>
      <c r="V28" s="4"/>
      <c r="W28" s="4" t="s">
        <v>27</v>
      </c>
      <c r="X28" s="4" t="s">
        <v>310</v>
      </c>
      <c r="Y28" s="4" t="s">
        <v>310</v>
      </c>
      <c r="Z28" s="4" t="s">
        <v>169</v>
      </c>
      <c r="AA28" s="4" t="s">
        <v>311</v>
      </c>
      <c r="AB28" s="4" t="s">
        <v>312</v>
      </c>
      <c r="AC28" s="4" t="s">
        <v>313</v>
      </c>
      <c r="AD28" s="4" t="s">
        <v>17</v>
      </c>
      <c r="AE28" s="4" t="s">
        <v>17</v>
      </c>
      <c r="AF28" s="4" t="s">
        <v>19</v>
      </c>
      <c r="AG28" s="4" t="s">
        <v>19</v>
      </c>
      <c r="AH28" s="4" t="s">
        <v>312</v>
      </c>
    </row>
    <row r="29" spans="2:34" ht="15">
      <c r="B29" s="1" t="s">
        <v>153</v>
      </c>
      <c r="C29" s="2">
        <v>43514</v>
      </c>
      <c r="D29" s="1" t="s">
        <v>154</v>
      </c>
      <c r="E29" s="1" t="s">
        <v>314</v>
      </c>
      <c r="F29" s="1" t="s">
        <v>3</v>
      </c>
      <c r="G29" s="1" t="s">
        <v>4</v>
      </c>
      <c r="H29" s="1" t="s">
        <v>315</v>
      </c>
      <c r="I29" s="2">
        <v>43511</v>
      </c>
      <c r="J29" s="3">
        <v>0.68125</v>
      </c>
      <c r="K29" s="2">
        <v>43515</v>
      </c>
      <c r="L29" s="1" t="s">
        <v>6</v>
      </c>
      <c r="M29" s="1"/>
      <c r="N29" s="1" t="s">
        <v>316</v>
      </c>
      <c r="O29" s="1" t="s">
        <v>317</v>
      </c>
      <c r="P29" s="1" t="s">
        <v>318</v>
      </c>
      <c r="Q29" s="1" t="s">
        <v>4</v>
      </c>
      <c r="R29" s="1" t="s">
        <v>4</v>
      </c>
      <c r="S29" s="1" t="s">
        <v>10</v>
      </c>
      <c r="T29" s="1"/>
      <c r="U29" s="1"/>
      <c r="V29" s="1"/>
      <c r="W29" s="1" t="s">
        <v>27</v>
      </c>
      <c r="X29" s="1" t="s">
        <v>319</v>
      </c>
      <c r="Y29" s="1" t="s">
        <v>319</v>
      </c>
      <c r="Z29" s="1" t="s">
        <v>320</v>
      </c>
      <c r="AA29" s="1" t="s">
        <v>291</v>
      </c>
      <c r="AB29" s="1" t="s">
        <v>321</v>
      </c>
      <c r="AC29" s="1" t="s">
        <v>322</v>
      </c>
      <c r="AD29" s="1" t="s">
        <v>17</v>
      </c>
      <c r="AE29" s="1" t="s">
        <v>323</v>
      </c>
      <c r="AF29" s="1" t="s">
        <v>19</v>
      </c>
      <c r="AG29" s="1" t="s">
        <v>19</v>
      </c>
      <c r="AH29" s="1" t="s">
        <v>321</v>
      </c>
    </row>
    <row r="30" spans="2:34" ht="15">
      <c r="B30" s="4" t="s">
        <v>153</v>
      </c>
      <c r="C30" s="5">
        <v>43514</v>
      </c>
      <c r="D30" s="4" t="s">
        <v>154</v>
      </c>
      <c r="E30" s="4" t="s">
        <v>324</v>
      </c>
      <c r="F30" s="4" t="s">
        <v>3</v>
      </c>
      <c r="G30" s="4" t="s">
        <v>4</v>
      </c>
      <c r="H30" s="4" t="s">
        <v>325</v>
      </c>
      <c r="I30" s="5">
        <v>43511</v>
      </c>
      <c r="J30" s="6">
        <v>0.625</v>
      </c>
      <c r="K30" s="5">
        <v>43515</v>
      </c>
      <c r="L30" s="4" t="s">
        <v>6</v>
      </c>
      <c r="M30" s="4"/>
      <c r="N30" s="4" t="s">
        <v>326</v>
      </c>
      <c r="O30" s="4" t="s">
        <v>327</v>
      </c>
      <c r="P30" s="4" t="s">
        <v>328</v>
      </c>
      <c r="Q30" s="4" t="s">
        <v>4</v>
      </c>
      <c r="R30" s="4" t="s">
        <v>4</v>
      </c>
      <c r="S30" s="4" t="s">
        <v>10</v>
      </c>
      <c r="T30" s="4"/>
      <c r="U30" s="4"/>
      <c r="V30" s="4"/>
      <c r="W30" s="4" t="s">
        <v>27</v>
      </c>
      <c r="X30" s="4" t="s">
        <v>329</v>
      </c>
      <c r="Y30" s="4" t="s">
        <v>329</v>
      </c>
      <c r="Z30" s="4" t="s">
        <v>330</v>
      </c>
      <c r="AA30" s="4" t="s">
        <v>331</v>
      </c>
      <c r="AB30" s="4" t="s">
        <v>332</v>
      </c>
      <c r="AC30" s="4" t="s">
        <v>333</v>
      </c>
      <c r="AD30" s="4" t="s">
        <v>17</v>
      </c>
      <c r="AE30" s="4" t="s">
        <v>334</v>
      </c>
      <c r="AF30" s="4" t="s">
        <v>19</v>
      </c>
      <c r="AG30" s="4" t="s">
        <v>19</v>
      </c>
      <c r="AH30" s="4" t="s">
        <v>332</v>
      </c>
    </row>
    <row r="31" spans="2:34" ht="15">
      <c r="B31" s="1" t="s">
        <v>153</v>
      </c>
      <c r="C31" s="2">
        <v>43514</v>
      </c>
      <c r="D31" s="1" t="s">
        <v>154</v>
      </c>
      <c r="E31" s="1" t="s">
        <v>335</v>
      </c>
      <c r="F31" s="1" t="s">
        <v>3</v>
      </c>
      <c r="G31" s="1" t="s">
        <v>4</v>
      </c>
      <c r="H31" s="1" t="s">
        <v>325</v>
      </c>
      <c r="I31" s="2">
        <v>43511</v>
      </c>
      <c r="J31" s="3">
        <v>0.6236111111111111</v>
      </c>
      <c r="K31" s="2">
        <v>43515</v>
      </c>
      <c r="L31" s="1" t="s">
        <v>6</v>
      </c>
      <c r="M31" s="1"/>
      <c r="N31" s="1" t="s">
        <v>336</v>
      </c>
      <c r="O31" s="1" t="s">
        <v>337</v>
      </c>
      <c r="P31" s="1" t="s">
        <v>338</v>
      </c>
      <c r="Q31" s="1" t="s">
        <v>4</v>
      </c>
      <c r="R31" s="1" t="s">
        <v>4</v>
      </c>
      <c r="S31" s="1" t="s">
        <v>10</v>
      </c>
      <c r="T31" s="1"/>
      <c r="U31" s="1"/>
      <c r="V31" s="1"/>
      <c r="W31" s="1" t="s">
        <v>27</v>
      </c>
      <c r="X31" s="1" t="s">
        <v>339</v>
      </c>
      <c r="Y31" s="1" t="s">
        <v>339</v>
      </c>
      <c r="Z31" s="1" t="s">
        <v>340</v>
      </c>
      <c r="AA31" s="1" t="s">
        <v>341</v>
      </c>
      <c r="AB31" s="1" t="s">
        <v>342</v>
      </c>
      <c r="AC31" s="1" t="s">
        <v>343</v>
      </c>
      <c r="AD31" s="1" t="s">
        <v>17</v>
      </c>
      <c r="AE31" s="1" t="s">
        <v>344</v>
      </c>
      <c r="AF31" s="1" t="s">
        <v>19</v>
      </c>
      <c r="AG31" s="1" t="s">
        <v>19</v>
      </c>
      <c r="AH31" s="1" t="s">
        <v>342</v>
      </c>
    </row>
    <row r="32" spans="2:34" ht="15">
      <c r="B32" s="4" t="s">
        <v>153</v>
      </c>
      <c r="C32" s="5">
        <v>43514</v>
      </c>
      <c r="D32" s="4" t="s">
        <v>154</v>
      </c>
      <c r="E32" s="4" t="s">
        <v>345</v>
      </c>
      <c r="F32" s="4" t="s">
        <v>3</v>
      </c>
      <c r="G32" s="4" t="s">
        <v>4</v>
      </c>
      <c r="H32" s="4" t="s">
        <v>119</v>
      </c>
      <c r="I32" s="5">
        <v>43514</v>
      </c>
      <c r="J32" s="6">
        <v>0.34546296296296297</v>
      </c>
      <c r="K32" s="5">
        <v>43516</v>
      </c>
      <c r="L32" s="4" t="s">
        <v>6</v>
      </c>
      <c r="M32" s="4"/>
      <c r="N32" s="4" t="s">
        <v>110</v>
      </c>
      <c r="O32" s="4" t="s">
        <v>111</v>
      </c>
      <c r="P32" s="4" t="s">
        <v>112</v>
      </c>
      <c r="Q32" s="4" t="s">
        <v>4</v>
      </c>
      <c r="R32" s="4" t="s">
        <v>4</v>
      </c>
      <c r="S32" s="4" t="s">
        <v>10</v>
      </c>
      <c r="T32" s="4"/>
      <c r="U32" s="4"/>
      <c r="V32" s="4"/>
      <c r="W32" s="4" t="s">
        <v>27</v>
      </c>
      <c r="X32" s="4" t="s">
        <v>346</v>
      </c>
      <c r="Y32" s="4" t="s">
        <v>346</v>
      </c>
      <c r="Z32" s="4" t="s">
        <v>347</v>
      </c>
      <c r="AA32" s="4" t="s">
        <v>348</v>
      </c>
      <c r="AB32" s="4" t="s">
        <v>349</v>
      </c>
      <c r="AC32" s="4" t="s">
        <v>350</v>
      </c>
      <c r="AD32" s="4" t="s">
        <v>17</v>
      </c>
      <c r="AE32" s="4" t="s">
        <v>18</v>
      </c>
      <c r="AF32" s="4" t="s">
        <v>19</v>
      </c>
      <c r="AG32" s="4" t="s">
        <v>19</v>
      </c>
      <c r="AH32" s="4" t="s">
        <v>349</v>
      </c>
    </row>
    <row r="33" spans="2:34" ht="15">
      <c r="B33" s="1" t="s">
        <v>153</v>
      </c>
      <c r="C33" s="2">
        <v>43514</v>
      </c>
      <c r="D33" s="1" t="s">
        <v>154</v>
      </c>
      <c r="E33" s="1" t="s">
        <v>351</v>
      </c>
      <c r="F33" s="1" t="s">
        <v>3</v>
      </c>
      <c r="G33" s="1" t="s">
        <v>4</v>
      </c>
      <c r="H33" s="1" t="s">
        <v>119</v>
      </c>
      <c r="I33" s="2">
        <v>43514</v>
      </c>
      <c r="J33" s="3">
        <v>0.3662962962962963</v>
      </c>
      <c r="K33" s="2">
        <v>43516</v>
      </c>
      <c r="L33" s="1" t="s">
        <v>6</v>
      </c>
      <c r="M33" s="1"/>
      <c r="N33" s="1" t="s">
        <v>269</v>
      </c>
      <c r="O33" s="1" t="s">
        <v>270</v>
      </c>
      <c r="P33" s="1" t="s">
        <v>271</v>
      </c>
      <c r="Q33" s="1" t="s">
        <v>4</v>
      </c>
      <c r="R33" s="1" t="s">
        <v>4</v>
      </c>
      <c r="S33" s="1" t="s">
        <v>10</v>
      </c>
      <c r="T33" s="1"/>
      <c r="U33" s="1"/>
      <c r="V33" s="1"/>
      <c r="W33" s="1" t="s">
        <v>27</v>
      </c>
      <c r="X33" s="1" t="s">
        <v>352</v>
      </c>
      <c r="Y33" s="1" t="s">
        <v>352</v>
      </c>
      <c r="Z33" s="1" t="s">
        <v>353</v>
      </c>
      <c r="AA33" s="1" t="s">
        <v>354</v>
      </c>
      <c r="AB33" s="1" t="s">
        <v>355</v>
      </c>
      <c r="AC33" s="1" t="s">
        <v>356</v>
      </c>
      <c r="AD33" s="1" t="s">
        <v>17</v>
      </c>
      <c r="AE33" s="1" t="s">
        <v>18</v>
      </c>
      <c r="AF33" s="1" t="s">
        <v>19</v>
      </c>
      <c r="AG33" s="1" t="s">
        <v>19</v>
      </c>
      <c r="AH33" s="1" t="s">
        <v>355</v>
      </c>
    </row>
    <row r="34" spans="2:34" ht="15">
      <c r="B34" s="4" t="s">
        <v>153</v>
      </c>
      <c r="C34" s="5">
        <v>43514</v>
      </c>
      <c r="D34" s="4" t="s">
        <v>154</v>
      </c>
      <c r="E34" s="4" t="s">
        <v>357</v>
      </c>
      <c r="F34" s="4" t="s">
        <v>3</v>
      </c>
      <c r="G34" s="4" t="s">
        <v>4</v>
      </c>
      <c r="H34" s="4" t="s">
        <v>119</v>
      </c>
      <c r="I34" s="5">
        <v>43514</v>
      </c>
      <c r="J34" s="6">
        <v>0.36640046296296297</v>
      </c>
      <c r="K34" s="5">
        <v>43516</v>
      </c>
      <c r="L34" s="4" t="s">
        <v>6</v>
      </c>
      <c r="M34" s="4"/>
      <c r="N34" s="4" t="s">
        <v>358</v>
      </c>
      <c r="O34" s="4" t="s">
        <v>359</v>
      </c>
      <c r="P34" s="4" t="s">
        <v>360</v>
      </c>
      <c r="Q34" s="4" t="s">
        <v>4</v>
      </c>
      <c r="R34" s="4" t="s">
        <v>4</v>
      </c>
      <c r="S34" s="4" t="s">
        <v>10</v>
      </c>
      <c r="T34" s="4"/>
      <c r="U34" s="4"/>
      <c r="V34" s="4"/>
      <c r="W34" s="4" t="s">
        <v>27</v>
      </c>
      <c r="X34" s="4" t="s">
        <v>159</v>
      </c>
      <c r="Y34" s="4" t="s">
        <v>159</v>
      </c>
      <c r="Z34" s="4" t="s">
        <v>361</v>
      </c>
      <c r="AA34" s="4" t="s">
        <v>362</v>
      </c>
      <c r="AB34" s="4" t="s">
        <v>363</v>
      </c>
      <c r="AC34" s="4" t="s">
        <v>364</v>
      </c>
      <c r="AD34" s="4" t="s">
        <v>17</v>
      </c>
      <c r="AE34" s="4" t="s">
        <v>18</v>
      </c>
      <c r="AF34" s="4" t="s">
        <v>19</v>
      </c>
      <c r="AG34" s="4" t="s">
        <v>19</v>
      </c>
      <c r="AH34" s="4" t="s">
        <v>363</v>
      </c>
    </row>
    <row r="35" spans="2:34" ht="15">
      <c r="B35" s="1" t="s">
        <v>153</v>
      </c>
      <c r="C35" s="2">
        <v>43514</v>
      </c>
      <c r="D35" s="1" t="s">
        <v>154</v>
      </c>
      <c r="E35" s="1" t="s">
        <v>365</v>
      </c>
      <c r="F35" s="1" t="s">
        <v>3</v>
      </c>
      <c r="G35" s="1" t="s">
        <v>4</v>
      </c>
      <c r="H35" s="1" t="s">
        <v>126</v>
      </c>
      <c r="I35" s="2">
        <v>43511</v>
      </c>
      <c r="J35" s="3">
        <v>0.6980902777777778</v>
      </c>
      <c r="K35" s="2">
        <v>43515</v>
      </c>
      <c r="L35" s="1" t="s">
        <v>6</v>
      </c>
      <c r="M35" s="1"/>
      <c r="N35" s="1" t="s">
        <v>366</v>
      </c>
      <c r="O35" s="1" t="s">
        <v>367</v>
      </c>
      <c r="P35" s="1" t="s">
        <v>368</v>
      </c>
      <c r="Q35" s="1" t="s">
        <v>4</v>
      </c>
      <c r="R35" s="1" t="s">
        <v>4</v>
      </c>
      <c r="S35" s="1" t="s">
        <v>10</v>
      </c>
      <c r="T35" s="1"/>
      <c r="U35" s="1"/>
      <c r="V35" s="1"/>
      <c r="W35" s="1" t="s">
        <v>27</v>
      </c>
      <c r="X35" s="1" t="s">
        <v>369</v>
      </c>
      <c r="Y35" s="1" t="s">
        <v>369</v>
      </c>
      <c r="Z35" s="1" t="s">
        <v>370</v>
      </c>
      <c r="AA35" s="1" t="s">
        <v>371</v>
      </c>
      <c r="AB35" s="1" t="s">
        <v>372</v>
      </c>
      <c r="AC35" s="1" t="s">
        <v>373</v>
      </c>
      <c r="AD35" s="1" t="s">
        <v>17</v>
      </c>
      <c r="AE35" s="1" t="s">
        <v>374</v>
      </c>
      <c r="AF35" s="1" t="s">
        <v>19</v>
      </c>
      <c r="AG35" s="1" t="s">
        <v>19</v>
      </c>
      <c r="AH35" s="1" t="s">
        <v>372</v>
      </c>
    </row>
    <row r="36" spans="2:34" ht="15">
      <c r="B36" s="4" t="s">
        <v>153</v>
      </c>
      <c r="C36" s="5">
        <v>43514</v>
      </c>
      <c r="D36" s="4" t="s">
        <v>154</v>
      </c>
      <c r="E36" s="4" t="s">
        <v>375</v>
      </c>
      <c r="F36" s="4" t="s">
        <v>3</v>
      </c>
      <c r="G36" s="4" t="s">
        <v>4</v>
      </c>
      <c r="H36" s="4" t="s">
        <v>126</v>
      </c>
      <c r="I36" s="5">
        <v>43511</v>
      </c>
      <c r="J36" s="6">
        <v>0.6995833333333333</v>
      </c>
      <c r="K36" s="5">
        <v>43515</v>
      </c>
      <c r="L36" s="4" t="s">
        <v>6</v>
      </c>
      <c r="M36" s="4"/>
      <c r="N36" s="4" t="s">
        <v>127</v>
      </c>
      <c r="O36" s="4" t="s">
        <v>128</v>
      </c>
      <c r="P36" s="4" t="s">
        <v>129</v>
      </c>
      <c r="Q36" s="4" t="s">
        <v>4</v>
      </c>
      <c r="R36" s="4" t="s">
        <v>4</v>
      </c>
      <c r="S36" s="4" t="s">
        <v>10</v>
      </c>
      <c r="T36" s="4"/>
      <c r="U36" s="4"/>
      <c r="V36" s="4"/>
      <c r="W36" s="4" t="s">
        <v>27</v>
      </c>
      <c r="X36" s="4" t="s">
        <v>376</v>
      </c>
      <c r="Y36" s="4" t="s">
        <v>376</v>
      </c>
      <c r="Z36" s="4" t="s">
        <v>377</v>
      </c>
      <c r="AA36" s="4" t="s">
        <v>378</v>
      </c>
      <c r="AB36" s="4" t="s">
        <v>379</v>
      </c>
      <c r="AC36" s="4" t="s">
        <v>380</v>
      </c>
      <c r="AD36" s="4" t="s">
        <v>17</v>
      </c>
      <c r="AE36" s="4" t="s">
        <v>18</v>
      </c>
      <c r="AF36" s="4" t="s">
        <v>19</v>
      </c>
      <c r="AG36" s="4" t="s">
        <v>19</v>
      </c>
      <c r="AH36" s="4" t="s">
        <v>379</v>
      </c>
    </row>
    <row r="37" spans="2:34" ht="15">
      <c r="B37" s="1" t="s">
        <v>153</v>
      </c>
      <c r="C37" s="2">
        <v>43514</v>
      </c>
      <c r="D37" s="1" t="s">
        <v>154</v>
      </c>
      <c r="E37" s="1" t="s">
        <v>381</v>
      </c>
      <c r="F37" s="1" t="s">
        <v>3</v>
      </c>
      <c r="G37" s="1" t="s">
        <v>4</v>
      </c>
      <c r="H37" s="1" t="s">
        <v>325</v>
      </c>
      <c r="I37" s="2">
        <v>43511</v>
      </c>
      <c r="J37" s="3">
        <v>0.6296759259259259</v>
      </c>
      <c r="K37" s="2">
        <v>43515</v>
      </c>
      <c r="L37" s="1" t="s">
        <v>6</v>
      </c>
      <c r="M37" s="1"/>
      <c r="N37" s="1" t="s">
        <v>382</v>
      </c>
      <c r="O37" s="1" t="s">
        <v>383</v>
      </c>
      <c r="P37" s="1" t="s">
        <v>384</v>
      </c>
      <c r="Q37" s="1" t="s">
        <v>4</v>
      </c>
      <c r="R37" s="1" t="s">
        <v>4</v>
      </c>
      <c r="S37" s="1" t="s">
        <v>10</v>
      </c>
      <c r="T37" s="1"/>
      <c r="U37" s="1"/>
      <c r="V37" s="1"/>
      <c r="W37" s="1" t="s">
        <v>27</v>
      </c>
      <c r="X37" s="1" t="s">
        <v>244</v>
      </c>
      <c r="Y37" s="1" t="s">
        <v>244</v>
      </c>
      <c r="Z37" s="1" t="s">
        <v>385</v>
      </c>
      <c r="AA37" s="1" t="s">
        <v>386</v>
      </c>
      <c r="AB37" s="1" t="s">
        <v>387</v>
      </c>
      <c r="AC37" s="1" t="s">
        <v>388</v>
      </c>
      <c r="AD37" s="1" t="s">
        <v>17</v>
      </c>
      <c r="AE37" s="1" t="s">
        <v>389</v>
      </c>
      <c r="AF37" s="1" t="s">
        <v>19</v>
      </c>
      <c r="AG37" s="1" t="s">
        <v>19</v>
      </c>
      <c r="AH37" s="1" t="s">
        <v>387</v>
      </c>
    </row>
    <row r="38" spans="2:34" ht="15">
      <c r="B38" s="4" t="s">
        <v>153</v>
      </c>
      <c r="C38" s="5">
        <v>43514</v>
      </c>
      <c r="D38" s="4" t="s">
        <v>154</v>
      </c>
      <c r="E38" s="4" t="s">
        <v>390</v>
      </c>
      <c r="F38" s="4" t="s">
        <v>3</v>
      </c>
      <c r="G38" s="4" t="s">
        <v>4</v>
      </c>
      <c r="H38" s="4" t="s">
        <v>325</v>
      </c>
      <c r="I38" s="5">
        <v>43511</v>
      </c>
      <c r="J38" s="6">
        <v>0.6297685185185186</v>
      </c>
      <c r="K38" s="5">
        <v>43515</v>
      </c>
      <c r="L38" s="4" t="s">
        <v>6</v>
      </c>
      <c r="M38" s="4"/>
      <c r="N38" s="4" t="s">
        <v>391</v>
      </c>
      <c r="O38" s="4" t="s">
        <v>392</v>
      </c>
      <c r="P38" s="4" t="s">
        <v>393</v>
      </c>
      <c r="Q38" s="4" t="s">
        <v>4</v>
      </c>
      <c r="R38" s="4" t="s">
        <v>4</v>
      </c>
      <c r="S38" s="4" t="s">
        <v>10</v>
      </c>
      <c r="T38" s="4"/>
      <c r="U38" s="4"/>
      <c r="V38" s="4"/>
      <c r="W38" s="4" t="s">
        <v>27</v>
      </c>
      <c r="X38" s="4" t="s">
        <v>394</v>
      </c>
      <c r="Y38" s="4" t="s">
        <v>394</v>
      </c>
      <c r="Z38" s="4" t="s">
        <v>395</v>
      </c>
      <c r="AA38" s="4" t="s">
        <v>396</v>
      </c>
      <c r="AB38" s="4" t="s">
        <v>397</v>
      </c>
      <c r="AC38" s="4" t="s">
        <v>398</v>
      </c>
      <c r="AD38" s="4" t="s">
        <v>17</v>
      </c>
      <c r="AE38" s="4" t="s">
        <v>399</v>
      </c>
      <c r="AF38" s="4" t="s">
        <v>19</v>
      </c>
      <c r="AG38" s="4" t="s">
        <v>19</v>
      </c>
      <c r="AH38" s="4" t="s">
        <v>397</v>
      </c>
    </row>
    <row r="39" spans="2:34" ht="15">
      <c r="B39" s="1" t="s">
        <v>153</v>
      </c>
      <c r="C39" s="2">
        <v>43514</v>
      </c>
      <c r="D39" s="1" t="s">
        <v>154</v>
      </c>
      <c r="E39" s="1" t="s">
        <v>400</v>
      </c>
      <c r="F39" s="1" t="s">
        <v>3</v>
      </c>
      <c r="G39" s="1" t="s">
        <v>4</v>
      </c>
      <c r="H39" s="1" t="s">
        <v>81</v>
      </c>
      <c r="I39" s="2">
        <v>43514</v>
      </c>
      <c r="J39" s="3">
        <v>0.3645833333333333</v>
      </c>
      <c r="K39" s="2">
        <v>43516</v>
      </c>
      <c r="L39" s="1" t="s">
        <v>6</v>
      </c>
      <c r="M39" s="1"/>
      <c r="N39" s="1" t="s">
        <v>401</v>
      </c>
      <c r="O39" s="1" t="s">
        <v>402</v>
      </c>
      <c r="P39" s="1" t="s">
        <v>403</v>
      </c>
      <c r="Q39" s="1" t="s">
        <v>4</v>
      </c>
      <c r="R39" s="1" t="s">
        <v>4</v>
      </c>
      <c r="S39" s="1" t="s">
        <v>10</v>
      </c>
      <c r="T39" s="1"/>
      <c r="U39" s="1"/>
      <c r="V39" s="1"/>
      <c r="W39" s="1" t="s">
        <v>27</v>
      </c>
      <c r="X39" s="1" t="s">
        <v>404</v>
      </c>
      <c r="Y39" s="1" t="s">
        <v>404</v>
      </c>
      <c r="Z39" s="1" t="s">
        <v>405</v>
      </c>
      <c r="AA39" s="1" t="s">
        <v>406</v>
      </c>
      <c r="AB39" s="1" t="s">
        <v>407</v>
      </c>
      <c r="AC39" s="1" t="s">
        <v>408</v>
      </c>
      <c r="AD39" s="1" t="s">
        <v>17</v>
      </c>
      <c r="AE39" s="1" t="s">
        <v>18</v>
      </c>
      <c r="AF39" s="1" t="s">
        <v>19</v>
      </c>
      <c r="AG39" s="1" t="s">
        <v>19</v>
      </c>
      <c r="AH39" s="1" t="s">
        <v>407</v>
      </c>
    </row>
    <row r="40" spans="2:34" ht="15">
      <c r="B40" s="4" t="s">
        <v>153</v>
      </c>
      <c r="C40" s="5">
        <v>43514</v>
      </c>
      <c r="D40" s="4" t="s">
        <v>154</v>
      </c>
      <c r="E40" s="4" t="s">
        <v>409</v>
      </c>
      <c r="F40" s="4" t="s">
        <v>3</v>
      </c>
      <c r="G40" s="4" t="s">
        <v>4</v>
      </c>
      <c r="H40" s="4" t="s">
        <v>81</v>
      </c>
      <c r="I40" s="5">
        <v>43514</v>
      </c>
      <c r="J40" s="6">
        <v>0.3625</v>
      </c>
      <c r="K40" s="5">
        <v>43516</v>
      </c>
      <c r="L40" s="4" t="s">
        <v>6</v>
      </c>
      <c r="M40" s="4"/>
      <c r="N40" s="4" t="s">
        <v>410</v>
      </c>
      <c r="O40" s="4" t="s">
        <v>411</v>
      </c>
      <c r="P40" s="4" t="s">
        <v>412</v>
      </c>
      <c r="Q40" s="4" t="s">
        <v>4</v>
      </c>
      <c r="R40" s="4" t="s">
        <v>4</v>
      </c>
      <c r="S40" s="4" t="s">
        <v>10</v>
      </c>
      <c r="T40" s="4"/>
      <c r="U40" s="4"/>
      <c r="V40" s="4"/>
      <c r="W40" s="4" t="s">
        <v>27</v>
      </c>
      <c r="X40" s="4" t="s">
        <v>207</v>
      </c>
      <c r="Y40" s="4" t="s">
        <v>207</v>
      </c>
      <c r="Z40" s="4" t="s">
        <v>413</v>
      </c>
      <c r="AA40" s="4" t="s">
        <v>414</v>
      </c>
      <c r="AB40" s="4" t="s">
        <v>415</v>
      </c>
      <c r="AC40" s="4" t="s">
        <v>416</v>
      </c>
      <c r="AD40" s="4" t="s">
        <v>17</v>
      </c>
      <c r="AE40" s="4" t="s">
        <v>18</v>
      </c>
      <c r="AF40" s="4" t="s">
        <v>19</v>
      </c>
      <c r="AG40" s="4" t="s">
        <v>19</v>
      </c>
      <c r="AH40" s="4" t="s">
        <v>415</v>
      </c>
    </row>
    <row r="41" spans="2:34" ht="15">
      <c r="B41" s="1" t="s">
        <v>153</v>
      </c>
      <c r="C41" s="2">
        <v>43514</v>
      </c>
      <c r="D41" s="1" t="s">
        <v>154</v>
      </c>
      <c r="E41" s="1" t="s">
        <v>417</v>
      </c>
      <c r="F41" s="1" t="s">
        <v>3</v>
      </c>
      <c r="G41" s="1" t="s">
        <v>4</v>
      </c>
      <c r="H41" s="1" t="s">
        <v>315</v>
      </c>
      <c r="I41" s="2">
        <v>43511</v>
      </c>
      <c r="J41" s="3">
        <v>0.6236111111111111</v>
      </c>
      <c r="K41" s="2">
        <v>43515</v>
      </c>
      <c r="L41" s="1" t="s">
        <v>6</v>
      </c>
      <c r="M41" s="1"/>
      <c r="N41" s="1" t="s">
        <v>418</v>
      </c>
      <c r="O41" s="1" t="s">
        <v>419</v>
      </c>
      <c r="P41" s="1" t="s">
        <v>420</v>
      </c>
      <c r="Q41" s="1" t="s">
        <v>4</v>
      </c>
      <c r="R41" s="1" t="s">
        <v>4</v>
      </c>
      <c r="S41" s="1" t="s">
        <v>10</v>
      </c>
      <c r="T41" s="1"/>
      <c r="U41" s="1"/>
      <c r="V41" s="1"/>
      <c r="W41" s="1" t="s">
        <v>27</v>
      </c>
      <c r="X41" s="1" t="s">
        <v>421</v>
      </c>
      <c r="Y41" s="1" t="s">
        <v>421</v>
      </c>
      <c r="Z41" s="1" t="s">
        <v>422</v>
      </c>
      <c r="AA41" s="1" t="s">
        <v>423</v>
      </c>
      <c r="AB41" s="1" t="s">
        <v>424</v>
      </c>
      <c r="AC41" s="1" t="s">
        <v>425</v>
      </c>
      <c r="AD41" s="1" t="s">
        <v>17</v>
      </c>
      <c r="AE41" s="1" t="s">
        <v>18</v>
      </c>
      <c r="AF41" s="1" t="s">
        <v>19</v>
      </c>
      <c r="AG41" s="1" t="s">
        <v>19</v>
      </c>
      <c r="AH41" s="1" t="s">
        <v>424</v>
      </c>
    </row>
    <row r="42" spans="2:34" ht="15">
      <c r="B42" s="4" t="s">
        <v>153</v>
      </c>
      <c r="C42" s="5">
        <v>43514</v>
      </c>
      <c r="D42" s="4" t="s">
        <v>154</v>
      </c>
      <c r="E42" s="4" t="s">
        <v>426</v>
      </c>
      <c r="F42" s="4" t="s">
        <v>3</v>
      </c>
      <c r="G42" s="4" t="s">
        <v>4</v>
      </c>
      <c r="H42" s="4" t="s">
        <v>90</v>
      </c>
      <c r="I42" s="5">
        <v>43514</v>
      </c>
      <c r="J42" s="6">
        <v>0.4534722222222222</v>
      </c>
      <c r="K42" s="5">
        <v>43516</v>
      </c>
      <c r="L42" s="4" t="s">
        <v>6</v>
      </c>
      <c r="M42" s="4"/>
      <c r="N42" s="4" t="s">
        <v>427</v>
      </c>
      <c r="O42" s="4" t="s">
        <v>428</v>
      </c>
      <c r="P42" s="4" t="s">
        <v>429</v>
      </c>
      <c r="Q42" s="4" t="s">
        <v>4</v>
      </c>
      <c r="R42" s="4" t="s">
        <v>4</v>
      </c>
      <c r="S42" s="4" t="s">
        <v>10</v>
      </c>
      <c r="T42" s="4"/>
      <c r="U42" s="4"/>
      <c r="V42" s="4"/>
      <c r="W42" s="4" t="s">
        <v>27</v>
      </c>
      <c r="X42" s="4" t="s">
        <v>430</v>
      </c>
      <c r="Y42" s="4" t="s">
        <v>430</v>
      </c>
      <c r="Z42" s="4" t="s">
        <v>431</v>
      </c>
      <c r="AA42" s="4" t="s">
        <v>432</v>
      </c>
      <c r="AB42" s="4" t="s">
        <v>433</v>
      </c>
      <c r="AC42" s="4" t="s">
        <v>434</v>
      </c>
      <c r="AD42" s="4" t="s">
        <v>17</v>
      </c>
      <c r="AE42" s="4" t="s">
        <v>18</v>
      </c>
      <c r="AF42" s="4" t="s">
        <v>19</v>
      </c>
      <c r="AG42" s="4" t="s">
        <v>19</v>
      </c>
      <c r="AH42" s="4" t="s">
        <v>433</v>
      </c>
    </row>
    <row r="43" spans="2:34" ht="15">
      <c r="B43" s="1" t="s">
        <v>20</v>
      </c>
      <c r="C43" s="2">
        <v>43515</v>
      </c>
      <c r="D43" s="1" t="s">
        <v>21</v>
      </c>
      <c r="E43" s="1" t="s">
        <v>80</v>
      </c>
      <c r="F43" s="1" t="s">
        <v>3</v>
      </c>
      <c r="G43" s="1" t="s">
        <v>4</v>
      </c>
      <c r="H43" s="1" t="s">
        <v>81</v>
      </c>
      <c r="I43" s="2">
        <v>43515</v>
      </c>
      <c r="J43" s="3">
        <v>0.3333333333333333</v>
      </c>
      <c r="K43" s="2">
        <v>43521</v>
      </c>
      <c r="L43" s="1" t="s">
        <v>6</v>
      </c>
      <c r="M43" s="1"/>
      <c r="N43" s="1" t="s">
        <v>82</v>
      </c>
      <c r="O43" s="1" t="s">
        <v>83</v>
      </c>
      <c r="P43" s="1" t="s">
        <v>84</v>
      </c>
      <c r="Q43" s="1" t="s">
        <v>4</v>
      </c>
      <c r="R43" s="1" t="s">
        <v>85</v>
      </c>
      <c r="S43" s="1" t="s">
        <v>85</v>
      </c>
      <c r="T43" s="1"/>
      <c r="U43" s="1"/>
      <c r="V43" s="1"/>
      <c r="W43" s="1" t="s">
        <v>27</v>
      </c>
      <c r="X43" s="1" t="s">
        <v>86</v>
      </c>
      <c r="Y43" s="1" t="s">
        <v>86</v>
      </c>
      <c r="Z43" s="1" t="s">
        <v>87</v>
      </c>
      <c r="AA43" s="1" t="s">
        <v>88</v>
      </c>
      <c r="AB43" s="1" t="s">
        <v>88</v>
      </c>
      <c r="AC43" s="1" t="s">
        <v>17</v>
      </c>
      <c r="AD43" s="1" t="s">
        <v>17</v>
      </c>
      <c r="AE43" s="1" t="s">
        <v>17</v>
      </c>
      <c r="AF43" s="1" t="s">
        <v>19</v>
      </c>
      <c r="AG43" s="1" t="s">
        <v>19</v>
      </c>
      <c r="AH43" s="1" t="s">
        <v>88</v>
      </c>
    </row>
    <row r="44" spans="2:34" ht="15">
      <c r="B44" s="4" t="s">
        <v>20</v>
      </c>
      <c r="C44" s="5">
        <v>43515</v>
      </c>
      <c r="D44" s="4" t="s">
        <v>21</v>
      </c>
      <c r="E44" s="4" t="s">
        <v>89</v>
      </c>
      <c r="F44" s="4" t="s">
        <v>3</v>
      </c>
      <c r="G44" s="4" t="s">
        <v>4</v>
      </c>
      <c r="H44" s="4" t="s">
        <v>90</v>
      </c>
      <c r="I44" s="5">
        <v>43515</v>
      </c>
      <c r="J44" s="6">
        <v>0.3333333333333333</v>
      </c>
      <c r="K44" s="5">
        <v>43516</v>
      </c>
      <c r="L44" s="4" t="s">
        <v>6</v>
      </c>
      <c r="M44" s="4"/>
      <c r="N44" s="4" t="s">
        <v>91</v>
      </c>
      <c r="O44" s="4" t="s">
        <v>92</v>
      </c>
      <c r="P44" s="4" t="s">
        <v>93</v>
      </c>
      <c r="Q44" s="4" t="s">
        <v>4</v>
      </c>
      <c r="R44" s="4" t="s">
        <v>85</v>
      </c>
      <c r="S44" s="4" t="s">
        <v>85</v>
      </c>
      <c r="T44" s="4"/>
      <c r="U44" s="4"/>
      <c r="V44" s="4"/>
      <c r="W44" s="4" t="s">
        <v>27</v>
      </c>
      <c r="X44" s="4" t="s">
        <v>94</v>
      </c>
      <c r="Y44" s="4" t="s">
        <v>94</v>
      </c>
      <c r="Z44" s="4" t="s">
        <v>95</v>
      </c>
      <c r="AA44" s="4" t="s">
        <v>96</v>
      </c>
      <c r="AB44" s="4" t="s">
        <v>96</v>
      </c>
      <c r="AC44" s="4" t="s">
        <v>17</v>
      </c>
      <c r="AD44" s="4" t="s">
        <v>17</v>
      </c>
      <c r="AE44" s="4" t="s">
        <v>17</v>
      </c>
      <c r="AF44" s="4" t="s">
        <v>19</v>
      </c>
      <c r="AG44" s="4" t="s">
        <v>19</v>
      </c>
      <c r="AH44" s="4" t="s">
        <v>96</v>
      </c>
    </row>
    <row r="45" spans="2:34" ht="15">
      <c r="B45" s="1" t="s">
        <v>20</v>
      </c>
      <c r="C45" s="2">
        <v>43515</v>
      </c>
      <c r="D45" s="1" t="s">
        <v>21</v>
      </c>
      <c r="E45" s="1" t="s">
        <v>435</v>
      </c>
      <c r="F45" s="1" t="s">
        <v>3</v>
      </c>
      <c r="G45" s="1" t="s">
        <v>4</v>
      </c>
      <c r="H45" s="1" t="s">
        <v>109</v>
      </c>
      <c r="I45" s="2">
        <v>43514</v>
      </c>
      <c r="J45" s="3">
        <v>0.6788773148148148</v>
      </c>
      <c r="K45" s="2">
        <v>43516</v>
      </c>
      <c r="L45" s="1" t="s">
        <v>6</v>
      </c>
      <c r="M45" s="1"/>
      <c r="N45" s="1" t="s">
        <v>145</v>
      </c>
      <c r="O45" s="1" t="s">
        <v>146</v>
      </c>
      <c r="P45" s="1" t="s">
        <v>436</v>
      </c>
      <c r="Q45" s="1"/>
      <c r="R45" s="1"/>
      <c r="S45" s="1"/>
      <c r="T45" s="1"/>
      <c r="U45" s="1"/>
      <c r="V45" s="1"/>
      <c r="W45" s="1" t="s">
        <v>27</v>
      </c>
      <c r="X45" s="1" t="s">
        <v>437</v>
      </c>
      <c r="Y45" s="1" t="s">
        <v>437</v>
      </c>
      <c r="Z45" s="1" t="s">
        <v>438</v>
      </c>
      <c r="AA45" s="1" t="s">
        <v>439</v>
      </c>
      <c r="AB45" s="1" t="s">
        <v>440</v>
      </c>
      <c r="AC45" s="1" t="s">
        <v>441</v>
      </c>
      <c r="AD45" s="1" t="s">
        <v>17</v>
      </c>
      <c r="AE45" s="1" t="s">
        <v>18</v>
      </c>
      <c r="AF45" s="1" t="s">
        <v>19</v>
      </c>
      <c r="AG45" s="1" t="s">
        <v>19</v>
      </c>
      <c r="AH45" s="1" t="s">
        <v>440</v>
      </c>
    </row>
    <row r="46" spans="2:34" ht="15">
      <c r="B46" s="4" t="s">
        <v>0</v>
      </c>
      <c r="C46" s="5">
        <v>43515</v>
      </c>
      <c r="D46" s="4" t="s">
        <v>1</v>
      </c>
      <c r="E46" s="4" t="s">
        <v>97</v>
      </c>
      <c r="F46" s="4" t="s">
        <v>3</v>
      </c>
      <c r="G46" s="4" t="s">
        <v>4</v>
      </c>
      <c r="H46" s="4" t="s">
        <v>90</v>
      </c>
      <c r="I46" s="5">
        <v>43515</v>
      </c>
      <c r="J46" s="6">
        <v>0.3333333333333333</v>
      </c>
      <c r="K46" s="5">
        <v>43516</v>
      </c>
      <c r="L46" s="4" t="s">
        <v>6</v>
      </c>
      <c r="M46" s="4"/>
      <c r="N46" s="4" t="s">
        <v>91</v>
      </c>
      <c r="O46" s="4" t="s">
        <v>92</v>
      </c>
      <c r="P46" s="4" t="s">
        <v>93</v>
      </c>
      <c r="Q46" s="4" t="s">
        <v>4</v>
      </c>
      <c r="R46" s="4" t="s">
        <v>85</v>
      </c>
      <c r="S46" s="4" t="s">
        <v>85</v>
      </c>
      <c r="T46" s="4"/>
      <c r="U46" s="4"/>
      <c r="V46" s="4"/>
      <c r="W46" s="4" t="s">
        <v>27</v>
      </c>
      <c r="X46" s="4" t="s">
        <v>98</v>
      </c>
      <c r="Y46" s="4" t="s">
        <v>98</v>
      </c>
      <c r="Z46" s="4" t="s">
        <v>95</v>
      </c>
      <c r="AA46" s="4" t="s">
        <v>99</v>
      </c>
      <c r="AB46" s="4" t="s">
        <v>99</v>
      </c>
      <c r="AC46" s="4" t="s">
        <v>17</v>
      </c>
      <c r="AD46" s="4" t="s">
        <v>17</v>
      </c>
      <c r="AE46" s="4" t="s">
        <v>17</v>
      </c>
      <c r="AF46" s="4" t="s">
        <v>19</v>
      </c>
      <c r="AG46" s="4" t="s">
        <v>19</v>
      </c>
      <c r="AH46" s="4" t="s">
        <v>99</v>
      </c>
    </row>
    <row r="47" spans="2:34" ht="15">
      <c r="B47" s="1" t="s">
        <v>153</v>
      </c>
      <c r="C47" s="2">
        <v>43515</v>
      </c>
      <c r="D47" s="1" t="s">
        <v>154</v>
      </c>
      <c r="E47" s="1" t="s">
        <v>442</v>
      </c>
      <c r="F47" s="1" t="s">
        <v>3</v>
      </c>
      <c r="G47" s="1" t="s">
        <v>4</v>
      </c>
      <c r="H47" s="1" t="s">
        <v>119</v>
      </c>
      <c r="I47" s="2">
        <v>43514</v>
      </c>
      <c r="J47" s="3">
        <v>0.48064814814814816</v>
      </c>
      <c r="K47" s="2">
        <v>43516</v>
      </c>
      <c r="L47" s="1" t="s">
        <v>6</v>
      </c>
      <c r="M47" s="1"/>
      <c r="N47" s="1" t="s">
        <v>443</v>
      </c>
      <c r="O47" s="1" t="s">
        <v>308</v>
      </c>
      <c r="P47" s="1" t="s">
        <v>444</v>
      </c>
      <c r="Q47" s="1" t="s">
        <v>4</v>
      </c>
      <c r="R47" s="1" t="s">
        <v>4</v>
      </c>
      <c r="S47" s="1" t="s">
        <v>10</v>
      </c>
      <c r="T47" s="1"/>
      <c r="U47" s="1"/>
      <c r="V47" s="1"/>
      <c r="W47" s="1" t="s">
        <v>27</v>
      </c>
      <c r="X47" s="1" t="s">
        <v>445</v>
      </c>
      <c r="Y47" s="1" t="s">
        <v>445</v>
      </c>
      <c r="Z47" s="1" t="s">
        <v>169</v>
      </c>
      <c r="AA47" s="1" t="s">
        <v>446</v>
      </c>
      <c r="AB47" s="1" t="s">
        <v>447</v>
      </c>
      <c r="AC47" s="1" t="s">
        <v>448</v>
      </c>
      <c r="AD47" s="1" t="s">
        <v>17</v>
      </c>
      <c r="AE47" s="1" t="s">
        <v>17</v>
      </c>
      <c r="AF47" s="1" t="s">
        <v>19</v>
      </c>
      <c r="AG47" s="1" t="s">
        <v>19</v>
      </c>
      <c r="AH47" s="1" t="s">
        <v>447</v>
      </c>
    </row>
    <row r="48" spans="2:34" ht="15">
      <c r="B48" s="4" t="s">
        <v>153</v>
      </c>
      <c r="C48" s="5">
        <v>43515</v>
      </c>
      <c r="D48" s="4" t="s">
        <v>154</v>
      </c>
      <c r="E48" s="4" t="s">
        <v>449</v>
      </c>
      <c r="F48" s="4" t="s">
        <v>3</v>
      </c>
      <c r="G48" s="4" t="s">
        <v>4</v>
      </c>
      <c r="H48" s="4" t="s">
        <v>119</v>
      </c>
      <c r="I48" s="5">
        <v>43514</v>
      </c>
      <c r="J48" s="6">
        <v>0.5949074074074074</v>
      </c>
      <c r="K48" s="5">
        <v>43516</v>
      </c>
      <c r="L48" s="4" t="s">
        <v>6</v>
      </c>
      <c r="M48" s="4"/>
      <c r="N48" s="4" t="s">
        <v>450</v>
      </c>
      <c r="O48" s="4" t="s">
        <v>451</v>
      </c>
      <c r="P48" s="4" t="s">
        <v>452</v>
      </c>
      <c r="Q48" s="4" t="s">
        <v>4</v>
      </c>
      <c r="R48" s="4" t="s">
        <v>4</v>
      </c>
      <c r="S48" s="4" t="s">
        <v>10</v>
      </c>
      <c r="T48" s="4"/>
      <c r="U48" s="4"/>
      <c r="V48" s="4"/>
      <c r="W48" s="4" t="s">
        <v>27</v>
      </c>
      <c r="X48" s="4" t="s">
        <v>453</v>
      </c>
      <c r="Y48" s="4" t="s">
        <v>453</v>
      </c>
      <c r="Z48" s="4" t="s">
        <v>454</v>
      </c>
      <c r="AA48" s="4" t="s">
        <v>455</v>
      </c>
      <c r="AB48" s="4" t="s">
        <v>456</v>
      </c>
      <c r="AC48" s="4" t="s">
        <v>457</v>
      </c>
      <c r="AD48" s="4" t="s">
        <v>17</v>
      </c>
      <c r="AE48" s="4" t="s">
        <v>18</v>
      </c>
      <c r="AF48" s="4" t="s">
        <v>19</v>
      </c>
      <c r="AG48" s="4" t="s">
        <v>19</v>
      </c>
      <c r="AH48" s="4" t="s">
        <v>456</v>
      </c>
    </row>
    <row r="49" spans="2:34" ht="15">
      <c r="B49" s="1" t="s">
        <v>153</v>
      </c>
      <c r="C49" s="2">
        <v>43515</v>
      </c>
      <c r="D49" s="1" t="s">
        <v>154</v>
      </c>
      <c r="E49" s="1" t="s">
        <v>458</v>
      </c>
      <c r="F49" s="1" t="s">
        <v>3</v>
      </c>
      <c r="G49" s="1" t="s">
        <v>4</v>
      </c>
      <c r="H49" s="1" t="s">
        <v>315</v>
      </c>
      <c r="I49" s="2">
        <v>43514</v>
      </c>
      <c r="J49" s="3">
        <v>0.5679513888888889</v>
      </c>
      <c r="K49" s="2">
        <v>43516</v>
      </c>
      <c r="L49" s="1" t="s">
        <v>6</v>
      </c>
      <c r="M49" s="1"/>
      <c r="N49" s="1" t="s">
        <v>459</v>
      </c>
      <c r="O49" s="1" t="s">
        <v>460</v>
      </c>
      <c r="P49" s="1" t="s">
        <v>461</v>
      </c>
      <c r="Q49" s="1" t="s">
        <v>4</v>
      </c>
      <c r="R49" s="1" t="s">
        <v>4</v>
      </c>
      <c r="S49" s="1" t="s">
        <v>10</v>
      </c>
      <c r="T49" s="1"/>
      <c r="U49" s="1"/>
      <c r="V49" s="1"/>
      <c r="W49" s="1" t="s">
        <v>27</v>
      </c>
      <c r="X49" s="1" t="s">
        <v>235</v>
      </c>
      <c r="Y49" s="1" t="s">
        <v>235</v>
      </c>
      <c r="Z49" s="1" t="s">
        <v>462</v>
      </c>
      <c r="AA49" s="1" t="s">
        <v>463</v>
      </c>
      <c r="AB49" s="1" t="s">
        <v>464</v>
      </c>
      <c r="AC49" s="1" t="s">
        <v>465</v>
      </c>
      <c r="AD49" s="1" t="s">
        <v>17</v>
      </c>
      <c r="AE49" s="1" t="s">
        <v>18</v>
      </c>
      <c r="AF49" s="1" t="s">
        <v>19</v>
      </c>
      <c r="AG49" s="1" t="s">
        <v>19</v>
      </c>
      <c r="AH49" s="1" t="s">
        <v>464</v>
      </c>
    </row>
    <row r="50" spans="2:34" ht="15">
      <c r="B50" s="4" t="s">
        <v>153</v>
      </c>
      <c r="C50" s="5">
        <v>43515</v>
      </c>
      <c r="D50" s="4" t="s">
        <v>154</v>
      </c>
      <c r="E50" s="4" t="s">
        <v>466</v>
      </c>
      <c r="F50" s="4" t="s">
        <v>3</v>
      </c>
      <c r="G50" s="4" t="s">
        <v>4</v>
      </c>
      <c r="H50" s="4" t="s">
        <v>119</v>
      </c>
      <c r="I50" s="5">
        <v>43514</v>
      </c>
      <c r="J50" s="6">
        <v>0.46565972222222224</v>
      </c>
      <c r="K50" s="5">
        <v>43516</v>
      </c>
      <c r="L50" s="4" t="s">
        <v>6</v>
      </c>
      <c r="M50" s="4"/>
      <c r="N50" s="4" t="s">
        <v>467</v>
      </c>
      <c r="O50" s="4" t="s">
        <v>468</v>
      </c>
      <c r="P50" s="4" t="s">
        <v>469</v>
      </c>
      <c r="Q50" s="4" t="s">
        <v>4</v>
      </c>
      <c r="R50" s="4" t="s">
        <v>4</v>
      </c>
      <c r="S50" s="4" t="s">
        <v>10</v>
      </c>
      <c r="T50" s="4"/>
      <c r="U50" s="4"/>
      <c r="V50" s="4"/>
      <c r="W50" s="4" t="s">
        <v>27</v>
      </c>
      <c r="X50" s="4" t="s">
        <v>470</v>
      </c>
      <c r="Y50" s="4" t="s">
        <v>470</v>
      </c>
      <c r="Z50" s="4" t="s">
        <v>471</v>
      </c>
      <c r="AA50" s="4" t="s">
        <v>472</v>
      </c>
      <c r="AB50" s="4" t="s">
        <v>473</v>
      </c>
      <c r="AC50" s="4" t="s">
        <v>474</v>
      </c>
      <c r="AD50" s="4" t="s">
        <v>17</v>
      </c>
      <c r="AE50" s="4" t="s">
        <v>18</v>
      </c>
      <c r="AF50" s="4" t="s">
        <v>19</v>
      </c>
      <c r="AG50" s="4" t="s">
        <v>19</v>
      </c>
      <c r="AH50" s="4" t="s">
        <v>473</v>
      </c>
    </row>
    <row r="51" spans="2:34" ht="15">
      <c r="B51" s="1" t="s">
        <v>153</v>
      </c>
      <c r="C51" s="2">
        <v>43515</v>
      </c>
      <c r="D51" s="1" t="s">
        <v>154</v>
      </c>
      <c r="E51" s="1" t="s">
        <v>475</v>
      </c>
      <c r="F51" s="1" t="s">
        <v>3</v>
      </c>
      <c r="G51" s="1" t="s">
        <v>4</v>
      </c>
      <c r="H51" s="1" t="s">
        <v>315</v>
      </c>
      <c r="I51" s="2">
        <v>43514</v>
      </c>
      <c r="J51" s="3">
        <v>0.46185185185185185</v>
      </c>
      <c r="K51" s="2">
        <v>43516</v>
      </c>
      <c r="L51" s="1" t="s">
        <v>6</v>
      </c>
      <c r="M51" s="1"/>
      <c r="N51" s="1" t="s">
        <v>316</v>
      </c>
      <c r="O51" s="1" t="s">
        <v>317</v>
      </c>
      <c r="P51" s="1" t="s">
        <v>476</v>
      </c>
      <c r="Q51" s="1" t="s">
        <v>4</v>
      </c>
      <c r="R51" s="1" t="s">
        <v>4</v>
      </c>
      <c r="S51" s="1" t="s">
        <v>10</v>
      </c>
      <c r="T51" s="1"/>
      <c r="U51" s="1"/>
      <c r="V51" s="1"/>
      <c r="W51" s="1" t="s">
        <v>27</v>
      </c>
      <c r="X51" s="1" t="s">
        <v>477</v>
      </c>
      <c r="Y51" s="1" t="s">
        <v>477</v>
      </c>
      <c r="Z51" s="1" t="s">
        <v>478</v>
      </c>
      <c r="AA51" s="1" t="s">
        <v>479</v>
      </c>
      <c r="AB51" s="1" t="s">
        <v>480</v>
      </c>
      <c r="AC51" s="1" t="s">
        <v>481</v>
      </c>
      <c r="AD51" s="1" t="s">
        <v>17</v>
      </c>
      <c r="AE51" s="1" t="s">
        <v>482</v>
      </c>
      <c r="AF51" s="1" t="s">
        <v>19</v>
      </c>
      <c r="AG51" s="1" t="s">
        <v>19</v>
      </c>
      <c r="AH51" s="1" t="s">
        <v>480</v>
      </c>
    </row>
    <row r="52" spans="2:34" ht="15">
      <c r="B52" s="4" t="s">
        <v>153</v>
      </c>
      <c r="C52" s="5">
        <v>43515</v>
      </c>
      <c r="D52" s="4" t="s">
        <v>154</v>
      </c>
      <c r="E52" s="4" t="s">
        <v>483</v>
      </c>
      <c r="F52" s="4" t="s">
        <v>3</v>
      </c>
      <c r="G52" s="4" t="s">
        <v>4</v>
      </c>
      <c r="H52" s="4" t="s">
        <v>109</v>
      </c>
      <c r="I52" s="5">
        <v>43514</v>
      </c>
      <c r="J52" s="6">
        <v>0.6788773148148148</v>
      </c>
      <c r="K52" s="5">
        <v>43516</v>
      </c>
      <c r="L52" s="4" t="s">
        <v>6</v>
      </c>
      <c r="M52" s="4"/>
      <c r="N52" s="4" t="s">
        <v>145</v>
      </c>
      <c r="O52" s="4" t="s">
        <v>146</v>
      </c>
      <c r="P52" s="4" t="s">
        <v>436</v>
      </c>
      <c r="Q52" s="4"/>
      <c r="R52" s="4"/>
      <c r="S52" s="4"/>
      <c r="T52" s="4"/>
      <c r="U52" s="4"/>
      <c r="V52" s="4"/>
      <c r="W52" s="4" t="s">
        <v>27</v>
      </c>
      <c r="X52" s="4" t="s">
        <v>484</v>
      </c>
      <c r="Y52" s="4" t="s">
        <v>484</v>
      </c>
      <c r="Z52" s="4" t="s">
        <v>438</v>
      </c>
      <c r="AA52" s="4" t="s">
        <v>485</v>
      </c>
      <c r="AB52" s="4" t="s">
        <v>486</v>
      </c>
      <c r="AC52" s="4" t="s">
        <v>487</v>
      </c>
      <c r="AD52" s="4" t="s">
        <v>17</v>
      </c>
      <c r="AE52" s="4" t="s">
        <v>18</v>
      </c>
      <c r="AF52" s="4" t="s">
        <v>19</v>
      </c>
      <c r="AG52" s="4" t="s">
        <v>19</v>
      </c>
      <c r="AH52" s="4" t="s">
        <v>486</v>
      </c>
    </row>
    <row r="53" spans="2:34" ht="15">
      <c r="B53" s="1" t="s">
        <v>20</v>
      </c>
      <c r="C53" s="2">
        <v>43516</v>
      </c>
      <c r="D53" s="1" t="s">
        <v>21</v>
      </c>
      <c r="E53" s="1" t="s">
        <v>488</v>
      </c>
      <c r="F53" s="1" t="s">
        <v>3</v>
      </c>
      <c r="G53" s="1" t="s">
        <v>4</v>
      </c>
      <c r="H53" s="1" t="s">
        <v>109</v>
      </c>
      <c r="I53" s="2">
        <v>43515</v>
      </c>
      <c r="J53" s="3">
        <v>0.48061342592592593</v>
      </c>
      <c r="K53" s="2">
        <v>43517</v>
      </c>
      <c r="L53" s="1" t="s">
        <v>6</v>
      </c>
      <c r="M53" s="1"/>
      <c r="N53" s="1" t="s">
        <v>145</v>
      </c>
      <c r="O53" s="1" t="s">
        <v>146</v>
      </c>
      <c r="P53" s="1" t="s">
        <v>147</v>
      </c>
      <c r="Q53" s="1" t="s">
        <v>4</v>
      </c>
      <c r="R53" s="1" t="s">
        <v>4</v>
      </c>
      <c r="S53" s="1" t="s">
        <v>10</v>
      </c>
      <c r="T53" s="1"/>
      <c r="U53" s="1"/>
      <c r="V53" s="1"/>
      <c r="W53" s="1" t="s">
        <v>27</v>
      </c>
      <c r="X53" s="1" t="s">
        <v>489</v>
      </c>
      <c r="Y53" s="1" t="s">
        <v>489</v>
      </c>
      <c r="Z53" s="1" t="s">
        <v>149</v>
      </c>
      <c r="AA53" s="1" t="s">
        <v>490</v>
      </c>
      <c r="AB53" s="1" t="s">
        <v>491</v>
      </c>
      <c r="AC53" s="1" t="s">
        <v>492</v>
      </c>
      <c r="AD53" s="1" t="s">
        <v>17</v>
      </c>
      <c r="AE53" s="1" t="s">
        <v>18</v>
      </c>
      <c r="AF53" s="1" t="s">
        <v>19</v>
      </c>
      <c r="AG53" s="1" t="s">
        <v>19</v>
      </c>
      <c r="AH53" s="1" t="s">
        <v>491</v>
      </c>
    </row>
    <row r="54" spans="2:34" ht="15">
      <c r="B54" s="4" t="s">
        <v>20</v>
      </c>
      <c r="C54" s="5">
        <v>43516</v>
      </c>
      <c r="D54" s="4" t="s">
        <v>21</v>
      </c>
      <c r="E54" s="4" t="s">
        <v>89</v>
      </c>
      <c r="F54" s="4" t="s">
        <v>3</v>
      </c>
      <c r="G54" s="4" t="s">
        <v>85</v>
      </c>
      <c r="H54" s="4" t="s">
        <v>90</v>
      </c>
      <c r="I54" s="5">
        <v>43515</v>
      </c>
      <c r="J54" s="6">
        <v>0.3333333333333333</v>
      </c>
      <c r="K54" s="5">
        <v>43516</v>
      </c>
      <c r="L54" s="4" t="s">
        <v>6</v>
      </c>
      <c r="M54" s="4"/>
      <c r="N54" s="4"/>
      <c r="O54" s="4"/>
      <c r="P54" s="4" t="s">
        <v>93</v>
      </c>
      <c r="Q54" s="4" t="s">
        <v>4</v>
      </c>
      <c r="R54" s="4" t="s">
        <v>85</v>
      </c>
      <c r="S54" s="4" t="s">
        <v>85</v>
      </c>
      <c r="T54" s="4"/>
      <c r="U54" s="4"/>
      <c r="V54" s="4"/>
      <c r="W54" s="4" t="s">
        <v>27</v>
      </c>
      <c r="X54" s="4" t="s">
        <v>94</v>
      </c>
      <c r="Y54" s="4" t="s">
        <v>94</v>
      </c>
      <c r="Z54" s="4" t="s">
        <v>95</v>
      </c>
      <c r="AA54" s="4" t="s">
        <v>96</v>
      </c>
      <c r="AB54" s="4" t="s">
        <v>96</v>
      </c>
      <c r="AC54" s="4" t="s">
        <v>17</v>
      </c>
      <c r="AD54" s="4" t="s">
        <v>17</v>
      </c>
      <c r="AE54" s="4" t="s">
        <v>17</v>
      </c>
      <c r="AF54" s="4" t="s">
        <v>19</v>
      </c>
      <c r="AG54" s="4" t="s">
        <v>19</v>
      </c>
      <c r="AH54" s="4" t="s">
        <v>96</v>
      </c>
    </row>
    <row r="55" spans="2:34" ht="15">
      <c r="B55" s="1" t="s">
        <v>20</v>
      </c>
      <c r="C55" s="2">
        <v>43516</v>
      </c>
      <c r="D55" s="1" t="s">
        <v>21</v>
      </c>
      <c r="E55" s="1" t="s">
        <v>100</v>
      </c>
      <c r="F55" s="1" t="s">
        <v>3</v>
      </c>
      <c r="G55" s="1" t="s">
        <v>4</v>
      </c>
      <c r="H55" s="1" t="s">
        <v>90</v>
      </c>
      <c r="I55" s="2">
        <v>43515</v>
      </c>
      <c r="J55" s="3">
        <v>0.3333333333333333</v>
      </c>
      <c r="K55" s="2">
        <v>43516</v>
      </c>
      <c r="L55" s="1" t="s">
        <v>6</v>
      </c>
      <c r="M55" s="1"/>
      <c r="N55" s="1" t="s">
        <v>91</v>
      </c>
      <c r="O55" s="1" t="s">
        <v>92</v>
      </c>
      <c r="P55" s="1" t="s">
        <v>93</v>
      </c>
      <c r="Q55" s="1" t="s">
        <v>4</v>
      </c>
      <c r="R55" s="1" t="s">
        <v>85</v>
      </c>
      <c r="S55" s="1" t="s">
        <v>4</v>
      </c>
      <c r="T55" s="1"/>
      <c r="U55" s="1"/>
      <c r="V55" s="1"/>
      <c r="W55" s="1" t="s">
        <v>27</v>
      </c>
      <c r="X55" s="1" t="s">
        <v>94</v>
      </c>
      <c r="Y55" s="1" t="s">
        <v>94</v>
      </c>
      <c r="Z55" s="1" t="s">
        <v>95</v>
      </c>
      <c r="AA55" s="1" t="s">
        <v>96</v>
      </c>
      <c r="AB55" s="1" t="s">
        <v>96</v>
      </c>
      <c r="AC55" s="1" t="s">
        <v>17</v>
      </c>
      <c r="AD55" s="1" t="s">
        <v>17</v>
      </c>
      <c r="AE55" s="1" t="s">
        <v>17</v>
      </c>
      <c r="AF55" s="1" t="s">
        <v>19</v>
      </c>
      <c r="AG55" s="1" t="s">
        <v>19</v>
      </c>
      <c r="AH55" s="1" t="s">
        <v>96</v>
      </c>
    </row>
    <row r="56" spans="2:34" ht="15">
      <c r="B56" s="4" t="s">
        <v>20</v>
      </c>
      <c r="C56" s="5">
        <v>43516</v>
      </c>
      <c r="D56" s="4" t="s">
        <v>21</v>
      </c>
      <c r="E56" s="4" t="s">
        <v>435</v>
      </c>
      <c r="F56" s="4" t="s">
        <v>3</v>
      </c>
      <c r="G56" s="4" t="s">
        <v>85</v>
      </c>
      <c r="H56" s="4" t="s">
        <v>109</v>
      </c>
      <c r="I56" s="5">
        <v>43514</v>
      </c>
      <c r="J56" s="6">
        <v>0.6788773148148148</v>
      </c>
      <c r="K56" s="5">
        <v>43516</v>
      </c>
      <c r="L56" s="4" t="s">
        <v>6</v>
      </c>
      <c r="M56" s="4"/>
      <c r="N56" s="4" t="s">
        <v>145</v>
      </c>
      <c r="O56" s="4" t="s">
        <v>146</v>
      </c>
      <c r="P56" s="4" t="s">
        <v>436</v>
      </c>
      <c r="Q56" s="4" t="s">
        <v>4</v>
      </c>
      <c r="R56" s="4" t="s">
        <v>4</v>
      </c>
      <c r="S56" s="4" t="s">
        <v>10</v>
      </c>
      <c r="T56" s="4"/>
      <c r="U56" s="4"/>
      <c r="V56" s="4"/>
      <c r="W56" s="4" t="s">
        <v>27</v>
      </c>
      <c r="X56" s="4" t="s">
        <v>437</v>
      </c>
      <c r="Y56" s="4" t="s">
        <v>437</v>
      </c>
      <c r="Z56" s="4" t="s">
        <v>438</v>
      </c>
      <c r="AA56" s="4" t="s">
        <v>439</v>
      </c>
      <c r="AB56" s="4" t="s">
        <v>493</v>
      </c>
      <c r="AC56" s="4" t="s">
        <v>441</v>
      </c>
      <c r="AD56" s="4" t="s">
        <v>17</v>
      </c>
      <c r="AE56" s="4" t="s">
        <v>17</v>
      </c>
      <c r="AF56" s="4" t="s">
        <v>19</v>
      </c>
      <c r="AG56" s="4" t="s">
        <v>19</v>
      </c>
      <c r="AH56" s="4" t="s">
        <v>493</v>
      </c>
    </row>
    <row r="57" spans="2:34" ht="15">
      <c r="B57" s="1" t="s">
        <v>20</v>
      </c>
      <c r="C57" s="2">
        <v>43516</v>
      </c>
      <c r="D57" s="1" t="s">
        <v>21</v>
      </c>
      <c r="E57" s="1" t="s">
        <v>494</v>
      </c>
      <c r="F57" s="1" t="s">
        <v>3</v>
      </c>
      <c r="G57" s="1" t="s">
        <v>4</v>
      </c>
      <c r="H57" s="1" t="s">
        <v>109</v>
      </c>
      <c r="I57" s="2">
        <v>43514</v>
      </c>
      <c r="J57" s="3">
        <v>0.6788773148148148</v>
      </c>
      <c r="K57" s="2">
        <v>43516</v>
      </c>
      <c r="L57" s="1" t="s">
        <v>6</v>
      </c>
      <c r="M57" s="1"/>
      <c r="N57" s="1" t="s">
        <v>145</v>
      </c>
      <c r="O57" s="1" t="s">
        <v>146</v>
      </c>
      <c r="P57" s="1" t="s">
        <v>436</v>
      </c>
      <c r="Q57" s="1" t="s">
        <v>4</v>
      </c>
      <c r="R57" s="1" t="s">
        <v>4</v>
      </c>
      <c r="S57" s="1" t="s">
        <v>10</v>
      </c>
      <c r="T57" s="1"/>
      <c r="U57" s="1"/>
      <c r="V57" s="1"/>
      <c r="W57" s="1" t="s">
        <v>27</v>
      </c>
      <c r="X57" s="1" t="s">
        <v>484</v>
      </c>
      <c r="Y57" s="1" t="s">
        <v>484</v>
      </c>
      <c r="Z57" s="1" t="s">
        <v>438</v>
      </c>
      <c r="AA57" s="1" t="s">
        <v>485</v>
      </c>
      <c r="AB57" s="1" t="s">
        <v>486</v>
      </c>
      <c r="AC57" s="1" t="s">
        <v>487</v>
      </c>
      <c r="AD57" s="1" t="s">
        <v>17</v>
      </c>
      <c r="AE57" s="1" t="s">
        <v>18</v>
      </c>
      <c r="AF57" s="1" t="s">
        <v>19</v>
      </c>
      <c r="AG57" s="1" t="s">
        <v>19</v>
      </c>
      <c r="AH57" s="1" t="s">
        <v>486</v>
      </c>
    </row>
    <row r="58" spans="2:34" ht="15">
      <c r="B58" s="4" t="s">
        <v>0</v>
      </c>
      <c r="C58" s="5">
        <v>43516</v>
      </c>
      <c r="D58" s="4" t="s">
        <v>1</v>
      </c>
      <c r="E58" s="4" t="s">
        <v>97</v>
      </c>
      <c r="F58" s="4" t="s">
        <v>3</v>
      </c>
      <c r="G58" s="4" t="s">
        <v>85</v>
      </c>
      <c r="H58" s="4" t="s">
        <v>90</v>
      </c>
      <c r="I58" s="5">
        <v>43515</v>
      </c>
      <c r="J58" s="6">
        <v>0.3333333333333333</v>
      </c>
      <c r="K58" s="5">
        <v>43516</v>
      </c>
      <c r="L58" s="4" t="s">
        <v>6</v>
      </c>
      <c r="M58" s="4"/>
      <c r="N58" s="4"/>
      <c r="O58" s="4"/>
      <c r="P58" s="4" t="s">
        <v>93</v>
      </c>
      <c r="Q58" s="4" t="s">
        <v>4</v>
      </c>
      <c r="R58" s="4" t="s">
        <v>85</v>
      </c>
      <c r="S58" s="4" t="s">
        <v>85</v>
      </c>
      <c r="T58" s="4"/>
      <c r="U58" s="4"/>
      <c r="V58" s="4"/>
      <c r="W58" s="4" t="s">
        <v>27</v>
      </c>
      <c r="X58" s="4" t="s">
        <v>98</v>
      </c>
      <c r="Y58" s="4" t="s">
        <v>98</v>
      </c>
      <c r="Z58" s="4" t="s">
        <v>95</v>
      </c>
      <c r="AA58" s="4" t="s">
        <v>99</v>
      </c>
      <c r="AB58" s="4" t="s">
        <v>99</v>
      </c>
      <c r="AC58" s="4" t="s">
        <v>17</v>
      </c>
      <c r="AD58" s="4" t="s">
        <v>17</v>
      </c>
      <c r="AE58" s="4" t="s">
        <v>17</v>
      </c>
      <c r="AF58" s="4" t="s">
        <v>19</v>
      </c>
      <c r="AG58" s="4" t="s">
        <v>19</v>
      </c>
      <c r="AH58" s="4" t="s">
        <v>99</v>
      </c>
    </row>
    <row r="59" spans="2:34" ht="15">
      <c r="B59" s="1" t="s">
        <v>0</v>
      </c>
      <c r="C59" s="2">
        <v>43516</v>
      </c>
      <c r="D59" s="1" t="s">
        <v>1</v>
      </c>
      <c r="E59" s="1" t="s">
        <v>101</v>
      </c>
      <c r="F59" s="1" t="s">
        <v>3</v>
      </c>
      <c r="G59" s="1" t="s">
        <v>4</v>
      </c>
      <c r="H59" s="1" t="s">
        <v>90</v>
      </c>
      <c r="I59" s="2">
        <v>43515</v>
      </c>
      <c r="J59" s="3">
        <v>0.3333333333333333</v>
      </c>
      <c r="K59" s="2">
        <v>43516</v>
      </c>
      <c r="L59" s="1" t="s">
        <v>6</v>
      </c>
      <c r="M59" s="1"/>
      <c r="N59" s="1" t="s">
        <v>91</v>
      </c>
      <c r="O59" s="1" t="s">
        <v>92</v>
      </c>
      <c r="P59" s="1" t="s">
        <v>93</v>
      </c>
      <c r="Q59" s="1" t="s">
        <v>4</v>
      </c>
      <c r="R59" s="1" t="s">
        <v>85</v>
      </c>
      <c r="S59" s="1" t="s">
        <v>4</v>
      </c>
      <c r="T59" s="1"/>
      <c r="U59" s="1"/>
      <c r="V59" s="1"/>
      <c r="W59" s="1" t="s">
        <v>27</v>
      </c>
      <c r="X59" s="1" t="s">
        <v>98</v>
      </c>
      <c r="Y59" s="1" t="s">
        <v>98</v>
      </c>
      <c r="Z59" s="1" t="s">
        <v>95</v>
      </c>
      <c r="AA59" s="1" t="s">
        <v>99</v>
      </c>
      <c r="AB59" s="1" t="s">
        <v>99</v>
      </c>
      <c r="AC59" s="1" t="s">
        <v>17</v>
      </c>
      <c r="AD59" s="1" t="s">
        <v>17</v>
      </c>
      <c r="AE59" s="1" t="s">
        <v>17</v>
      </c>
      <c r="AF59" s="1" t="s">
        <v>19</v>
      </c>
      <c r="AG59" s="1" t="s">
        <v>19</v>
      </c>
      <c r="AH59" s="1" t="s">
        <v>99</v>
      </c>
    </row>
    <row r="60" spans="2:34" ht="15">
      <c r="B60" s="4" t="s">
        <v>153</v>
      </c>
      <c r="C60" s="5">
        <v>43516</v>
      </c>
      <c r="D60" s="4" t="s">
        <v>154</v>
      </c>
      <c r="E60" s="4" t="s">
        <v>495</v>
      </c>
      <c r="F60" s="4" t="s">
        <v>3</v>
      </c>
      <c r="G60" s="4" t="s">
        <v>4</v>
      </c>
      <c r="H60" s="4" t="s">
        <v>109</v>
      </c>
      <c r="I60" s="5">
        <v>43515</v>
      </c>
      <c r="J60" s="6">
        <v>0.4805787037037037</v>
      </c>
      <c r="K60" s="5">
        <v>43517</v>
      </c>
      <c r="L60" s="4" t="s">
        <v>6</v>
      </c>
      <c r="M60" s="4"/>
      <c r="N60" s="4" t="s">
        <v>145</v>
      </c>
      <c r="O60" s="4" t="s">
        <v>146</v>
      </c>
      <c r="P60" s="4" t="s">
        <v>147</v>
      </c>
      <c r="Q60" s="4" t="s">
        <v>4</v>
      </c>
      <c r="R60" s="4" t="s">
        <v>4</v>
      </c>
      <c r="S60" s="4" t="s">
        <v>10</v>
      </c>
      <c r="T60" s="4"/>
      <c r="U60" s="4"/>
      <c r="V60" s="4"/>
      <c r="W60" s="4" t="s">
        <v>27</v>
      </c>
      <c r="X60" s="4" t="s">
        <v>496</v>
      </c>
      <c r="Y60" s="4" t="s">
        <v>496</v>
      </c>
      <c r="Z60" s="4" t="s">
        <v>149</v>
      </c>
      <c r="AA60" s="4" t="s">
        <v>497</v>
      </c>
      <c r="AB60" s="4" t="s">
        <v>498</v>
      </c>
      <c r="AC60" s="4" t="s">
        <v>499</v>
      </c>
      <c r="AD60" s="4" t="s">
        <v>17</v>
      </c>
      <c r="AE60" s="4" t="s">
        <v>18</v>
      </c>
      <c r="AF60" s="4" t="s">
        <v>19</v>
      </c>
      <c r="AG60" s="4" t="s">
        <v>19</v>
      </c>
      <c r="AH60" s="4" t="s">
        <v>498</v>
      </c>
    </row>
    <row r="61" spans="2:34" ht="15">
      <c r="B61" s="1" t="s">
        <v>153</v>
      </c>
      <c r="C61" s="2">
        <v>43516</v>
      </c>
      <c r="D61" s="1" t="s">
        <v>154</v>
      </c>
      <c r="E61" s="1" t="s">
        <v>500</v>
      </c>
      <c r="F61" s="1" t="s">
        <v>3</v>
      </c>
      <c r="G61" s="1" t="s">
        <v>4</v>
      </c>
      <c r="H61" s="1" t="s">
        <v>119</v>
      </c>
      <c r="I61" s="2">
        <v>43515</v>
      </c>
      <c r="J61" s="3">
        <v>0.47346064814814814</v>
      </c>
      <c r="K61" s="2">
        <v>43517</v>
      </c>
      <c r="L61" s="1" t="s">
        <v>6</v>
      </c>
      <c r="M61" s="1"/>
      <c r="N61" s="1" t="s">
        <v>443</v>
      </c>
      <c r="O61" s="1" t="s">
        <v>308</v>
      </c>
      <c r="P61" s="1" t="s">
        <v>444</v>
      </c>
      <c r="Q61" s="1" t="s">
        <v>4</v>
      </c>
      <c r="R61" s="1" t="s">
        <v>4</v>
      </c>
      <c r="S61" s="1" t="s">
        <v>10</v>
      </c>
      <c r="T61" s="1"/>
      <c r="U61" s="1"/>
      <c r="V61" s="1"/>
      <c r="W61" s="1" t="s">
        <v>27</v>
      </c>
      <c r="X61" s="1" t="s">
        <v>501</v>
      </c>
      <c r="Y61" s="1" t="s">
        <v>501</v>
      </c>
      <c r="Z61" s="1" t="s">
        <v>169</v>
      </c>
      <c r="AA61" s="1" t="s">
        <v>502</v>
      </c>
      <c r="AB61" s="1" t="s">
        <v>503</v>
      </c>
      <c r="AC61" s="1" t="s">
        <v>504</v>
      </c>
      <c r="AD61" s="1" t="s">
        <v>17</v>
      </c>
      <c r="AE61" s="1" t="s">
        <v>18</v>
      </c>
      <c r="AF61" s="1" t="s">
        <v>19</v>
      </c>
      <c r="AG61" s="1" t="s">
        <v>19</v>
      </c>
      <c r="AH61" s="1" t="s">
        <v>503</v>
      </c>
    </row>
    <row r="62" spans="2:34" ht="15">
      <c r="B62" s="4" t="s">
        <v>153</v>
      </c>
      <c r="C62" s="5">
        <v>43516</v>
      </c>
      <c r="D62" s="4" t="s">
        <v>154</v>
      </c>
      <c r="E62" s="4" t="s">
        <v>483</v>
      </c>
      <c r="F62" s="4" t="s">
        <v>3</v>
      </c>
      <c r="G62" s="4" t="s">
        <v>85</v>
      </c>
      <c r="H62" s="4" t="s">
        <v>109</v>
      </c>
      <c r="I62" s="5">
        <v>43514</v>
      </c>
      <c r="J62" s="6">
        <v>0.6788773148148148</v>
      </c>
      <c r="K62" s="5">
        <v>43516</v>
      </c>
      <c r="L62" s="4" t="s">
        <v>6</v>
      </c>
      <c r="M62" s="4"/>
      <c r="N62" s="4" t="s">
        <v>145</v>
      </c>
      <c r="O62" s="4" t="s">
        <v>146</v>
      </c>
      <c r="P62" s="4" t="s">
        <v>436</v>
      </c>
      <c r="Q62" s="4" t="s">
        <v>4</v>
      </c>
      <c r="R62" s="4" t="s">
        <v>4</v>
      </c>
      <c r="S62" s="4" t="s">
        <v>10</v>
      </c>
      <c r="T62" s="4"/>
      <c r="U62" s="4"/>
      <c r="V62" s="4"/>
      <c r="W62" s="4" t="s">
        <v>27</v>
      </c>
      <c r="X62" s="4" t="s">
        <v>484</v>
      </c>
      <c r="Y62" s="4" t="s">
        <v>484</v>
      </c>
      <c r="Z62" s="4" t="s">
        <v>438</v>
      </c>
      <c r="AA62" s="4" t="s">
        <v>485</v>
      </c>
      <c r="AB62" s="4" t="s">
        <v>505</v>
      </c>
      <c r="AC62" s="4" t="s">
        <v>487</v>
      </c>
      <c r="AD62" s="4" t="s">
        <v>17</v>
      </c>
      <c r="AE62" s="4" t="s">
        <v>17</v>
      </c>
      <c r="AF62" s="4" t="s">
        <v>19</v>
      </c>
      <c r="AG62" s="4" t="s">
        <v>19</v>
      </c>
      <c r="AH62" s="4" t="s">
        <v>505</v>
      </c>
    </row>
    <row r="63" spans="2:34" ht="15">
      <c r="B63" s="1" t="s">
        <v>153</v>
      </c>
      <c r="C63" s="2">
        <v>43516</v>
      </c>
      <c r="D63" s="1" t="s">
        <v>154</v>
      </c>
      <c r="E63" s="1" t="s">
        <v>506</v>
      </c>
      <c r="F63" s="1" t="s">
        <v>3</v>
      </c>
      <c r="G63" s="1" t="s">
        <v>4</v>
      </c>
      <c r="H63" s="1" t="s">
        <v>109</v>
      </c>
      <c r="I63" s="2">
        <v>43514</v>
      </c>
      <c r="J63" s="3">
        <v>0.6788773148148148</v>
      </c>
      <c r="K63" s="2">
        <v>43516</v>
      </c>
      <c r="L63" s="1" t="s">
        <v>6</v>
      </c>
      <c r="M63" s="1"/>
      <c r="N63" s="1" t="s">
        <v>145</v>
      </c>
      <c r="O63" s="1" t="s">
        <v>146</v>
      </c>
      <c r="P63" s="1" t="s">
        <v>436</v>
      </c>
      <c r="Q63" s="1" t="s">
        <v>4</v>
      </c>
      <c r="R63" s="1" t="s">
        <v>4</v>
      </c>
      <c r="S63" s="1" t="s">
        <v>10</v>
      </c>
      <c r="T63" s="1"/>
      <c r="U63" s="1"/>
      <c r="V63" s="1"/>
      <c r="W63" s="1" t="s">
        <v>27</v>
      </c>
      <c r="X63" s="1" t="s">
        <v>437</v>
      </c>
      <c r="Y63" s="1" t="s">
        <v>437</v>
      </c>
      <c r="Z63" s="1" t="s">
        <v>438</v>
      </c>
      <c r="AA63" s="1" t="s">
        <v>439</v>
      </c>
      <c r="AB63" s="1" t="s">
        <v>493</v>
      </c>
      <c r="AC63" s="1" t="s">
        <v>441</v>
      </c>
      <c r="AD63" s="1" t="s">
        <v>17</v>
      </c>
      <c r="AE63" s="1" t="s">
        <v>17</v>
      </c>
      <c r="AF63" s="1" t="s">
        <v>19</v>
      </c>
      <c r="AG63" s="1" t="s">
        <v>19</v>
      </c>
      <c r="AH63" s="1" t="s">
        <v>493</v>
      </c>
    </row>
    <row r="64" spans="2:34" ht="15">
      <c r="B64" s="4" t="s">
        <v>20</v>
      </c>
      <c r="C64" s="5">
        <v>43517</v>
      </c>
      <c r="D64" s="4" t="s">
        <v>21</v>
      </c>
      <c r="E64" s="4" t="s">
        <v>507</v>
      </c>
      <c r="F64" s="4" t="s">
        <v>3</v>
      </c>
      <c r="G64" s="4" t="s">
        <v>4</v>
      </c>
      <c r="H64" s="4" t="s">
        <v>109</v>
      </c>
      <c r="I64" s="5">
        <v>43516</v>
      </c>
      <c r="J64" s="6">
        <v>0.65625</v>
      </c>
      <c r="K64" s="5">
        <v>43518</v>
      </c>
      <c r="L64" s="4" t="s">
        <v>6</v>
      </c>
      <c r="M64" s="4"/>
      <c r="N64" s="4" t="s">
        <v>508</v>
      </c>
      <c r="O64" s="4" t="s">
        <v>509</v>
      </c>
      <c r="P64" s="4" t="s">
        <v>510</v>
      </c>
      <c r="Q64" s="4" t="s">
        <v>4</v>
      </c>
      <c r="R64" s="4" t="s">
        <v>4</v>
      </c>
      <c r="S64" s="4" t="s">
        <v>10</v>
      </c>
      <c r="T64" s="4"/>
      <c r="U64" s="4"/>
      <c r="V64" s="4"/>
      <c r="W64" s="4" t="s">
        <v>27</v>
      </c>
      <c r="X64" s="4" t="s">
        <v>511</v>
      </c>
      <c r="Y64" s="4" t="s">
        <v>511</v>
      </c>
      <c r="Z64" s="4" t="s">
        <v>512</v>
      </c>
      <c r="AA64" s="4" t="s">
        <v>513</v>
      </c>
      <c r="AB64" s="4" t="s">
        <v>514</v>
      </c>
      <c r="AC64" s="4" t="s">
        <v>329</v>
      </c>
      <c r="AD64" s="4" t="s">
        <v>17</v>
      </c>
      <c r="AE64" s="4" t="s">
        <v>18</v>
      </c>
      <c r="AF64" s="4" t="s">
        <v>19</v>
      </c>
      <c r="AG64" s="4" t="s">
        <v>19</v>
      </c>
      <c r="AH64" s="4" t="s">
        <v>514</v>
      </c>
    </row>
    <row r="65" spans="2:34" ht="15">
      <c r="B65" s="1" t="s">
        <v>20</v>
      </c>
      <c r="C65" s="2">
        <v>43517</v>
      </c>
      <c r="D65" s="1" t="s">
        <v>21</v>
      </c>
      <c r="E65" s="1" t="s">
        <v>515</v>
      </c>
      <c r="F65" s="1" t="s">
        <v>3</v>
      </c>
      <c r="G65" s="1" t="s">
        <v>4</v>
      </c>
      <c r="H65" s="1" t="s">
        <v>109</v>
      </c>
      <c r="I65" s="2">
        <v>43516</v>
      </c>
      <c r="J65" s="3">
        <v>0.5314236111111111</v>
      </c>
      <c r="K65" s="2">
        <v>43518</v>
      </c>
      <c r="L65" s="1" t="s">
        <v>6</v>
      </c>
      <c r="M65" s="1"/>
      <c r="N65" s="1" t="s">
        <v>145</v>
      </c>
      <c r="O65" s="1" t="s">
        <v>146</v>
      </c>
      <c r="P65" s="1" t="s">
        <v>436</v>
      </c>
      <c r="Q65" s="1" t="s">
        <v>4</v>
      </c>
      <c r="R65" s="1" t="s">
        <v>4</v>
      </c>
      <c r="S65" s="1" t="s">
        <v>10</v>
      </c>
      <c r="T65" s="1"/>
      <c r="U65" s="1"/>
      <c r="V65" s="1"/>
      <c r="W65" s="1" t="s">
        <v>27</v>
      </c>
      <c r="X65" s="1" t="s">
        <v>516</v>
      </c>
      <c r="Y65" s="1" t="s">
        <v>516</v>
      </c>
      <c r="Z65" s="1" t="s">
        <v>517</v>
      </c>
      <c r="AA65" s="1" t="s">
        <v>518</v>
      </c>
      <c r="AB65" s="1" t="s">
        <v>519</v>
      </c>
      <c r="AC65" s="1" t="s">
        <v>520</v>
      </c>
      <c r="AD65" s="1" t="s">
        <v>17</v>
      </c>
      <c r="AE65" s="1" t="s">
        <v>18</v>
      </c>
      <c r="AF65" s="1" t="s">
        <v>19</v>
      </c>
      <c r="AG65" s="1" t="s">
        <v>19</v>
      </c>
      <c r="AH65" s="1" t="s">
        <v>519</v>
      </c>
    </row>
    <row r="66" spans="2:34" ht="15">
      <c r="B66" s="4" t="s">
        <v>153</v>
      </c>
      <c r="C66" s="5">
        <v>43517</v>
      </c>
      <c r="D66" s="4" t="s">
        <v>154</v>
      </c>
      <c r="E66" s="4" t="s">
        <v>521</v>
      </c>
      <c r="F66" s="4" t="s">
        <v>3</v>
      </c>
      <c r="G66" s="4" t="s">
        <v>4</v>
      </c>
      <c r="H66" s="4" t="s">
        <v>109</v>
      </c>
      <c r="I66" s="5">
        <v>43516</v>
      </c>
      <c r="J66" s="6">
        <v>0.5314236111111111</v>
      </c>
      <c r="K66" s="5">
        <v>43518</v>
      </c>
      <c r="L66" s="4" t="s">
        <v>6</v>
      </c>
      <c r="M66" s="4"/>
      <c r="N66" s="4" t="s">
        <v>145</v>
      </c>
      <c r="O66" s="4" t="s">
        <v>146</v>
      </c>
      <c r="P66" s="4" t="s">
        <v>436</v>
      </c>
      <c r="Q66" s="4" t="s">
        <v>4</v>
      </c>
      <c r="R66" s="4" t="s">
        <v>4</v>
      </c>
      <c r="S66" s="4" t="s">
        <v>10</v>
      </c>
      <c r="T66" s="4"/>
      <c r="U66" s="4"/>
      <c r="V66" s="4"/>
      <c r="W66" s="4" t="s">
        <v>27</v>
      </c>
      <c r="X66" s="4" t="s">
        <v>522</v>
      </c>
      <c r="Y66" s="4" t="s">
        <v>522</v>
      </c>
      <c r="Z66" s="4" t="s">
        <v>517</v>
      </c>
      <c r="AA66" s="4" t="s">
        <v>523</v>
      </c>
      <c r="AB66" s="4" t="s">
        <v>524</v>
      </c>
      <c r="AC66" s="4" t="s">
        <v>525</v>
      </c>
      <c r="AD66" s="4" t="s">
        <v>17</v>
      </c>
      <c r="AE66" s="4" t="s">
        <v>17</v>
      </c>
      <c r="AF66" s="4" t="s">
        <v>19</v>
      </c>
      <c r="AG66" s="4" t="s">
        <v>19</v>
      </c>
      <c r="AH66" s="4" t="s">
        <v>524</v>
      </c>
    </row>
    <row r="67" spans="2:34" ht="15">
      <c r="B67" s="1" t="s">
        <v>20</v>
      </c>
      <c r="C67" s="2">
        <v>43518</v>
      </c>
      <c r="D67" s="1" t="s">
        <v>21</v>
      </c>
      <c r="E67" s="1" t="s">
        <v>526</v>
      </c>
      <c r="F67" s="1" t="s">
        <v>3</v>
      </c>
      <c r="G67" s="1" t="s">
        <v>4</v>
      </c>
      <c r="H67" s="1" t="s">
        <v>109</v>
      </c>
      <c r="I67" s="2">
        <v>43517</v>
      </c>
      <c r="J67" s="3">
        <v>0.491087962962963</v>
      </c>
      <c r="K67" s="2">
        <v>43521</v>
      </c>
      <c r="L67" s="1" t="s">
        <v>6</v>
      </c>
      <c r="M67" s="1"/>
      <c r="N67" s="1" t="s">
        <v>145</v>
      </c>
      <c r="O67" s="1" t="s">
        <v>146</v>
      </c>
      <c r="P67" s="1" t="s">
        <v>436</v>
      </c>
      <c r="Q67" s="1" t="s">
        <v>4</v>
      </c>
      <c r="R67" s="1" t="s">
        <v>4</v>
      </c>
      <c r="S67" s="1" t="s">
        <v>10</v>
      </c>
      <c r="T67" s="1"/>
      <c r="U67" s="1"/>
      <c r="V67" s="1"/>
      <c r="W67" s="1" t="s">
        <v>27</v>
      </c>
      <c r="X67" s="1" t="s">
        <v>527</v>
      </c>
      <c r="Y67" s="1" t="s">
        <v>527</v>
      </c>
      <c r="Z67" s="1" t="s">
        <v>528</v>
      </c>
      <c r="AA67" s="1" t="s">
        <v>529</v>
      </c>
      <c r="AB67" s="1" t="s">
        <v>530</v>
      </c>
      <c r="AC67" s="1" t="s">
        <v>531</v>
      </c>
      <c r="AD67" s="1" t="s">
        <v>17</v>
      </c>
      <c r="AE67" s="1" t="s">
        <v>18</v>
      </c>
      <c r="AF67" s="1" t="s">
        <v>19</v>
      </c>
      <c r="AG67" s="1" t="s">
        <v>19</v>
      </c>
      <c r="AH67" s="1" t="s">
        <v>530</v>
      </c>
    </row>
    <row r="68" spans="2:34" ht="15">
      <c r="B68" s="4" t="s">
        <v>153</v>
      </c>
      <c r="C68" s="5">
        <v>43518</v>
      </c>
      <c r="D68" s="4" t="s">
        <v>154</v>
      </c>
      <c r="E68" s="4" t="s">
        <v>532</v>
      </c>
      <c r="F68" s="4" t="s">
        <v>3</v>
      </c>
      <c r="G68" s="4" t="s">
        <v>4</v>
      </c>
      <c r="H68" s="4" t="s">
        <v>109</v>
      </c>
      <c r="I68" s="5">
        <v>43517</v>
      </c>
      <c r="J68" s="6">
        <v>0.491087962962963</v>
      </c>
      <c r="K68" s="5">
        <v>43521</v>
      </c>
      <c r="L68" s="4" t="s">
        <v>6</v>
      </c>
      <c r="M68" s="4"/>
      <c r="N68" s="4" t="s">
        <v>145</v>
      </c>
      <c r="O68" s="4" t="s">
        <v>146</v>
      </c>
      <c r="P68" s="4" t="s">
        <v>436</v>
      </c>
      <c r="Q68" s="4" t="s">
        <v>4</v>
      </c>
      <c r="R68" s="4" t="s">
        <v>4</v>
      </c>
      <c r="S68" s="4" t="s">
        <v>10</v>
      </c>
      <c r="T68" s="4"/>
      <c r="U68" s="4"/>
      <c r="V68" s="4"/>
      <c r="W68" s="4" t="s">
        <v>27</v>
      </c>
      <c r="X68" s="4" t="s">
        <v>533</v>
      </c>
      <c r="Y68" s="4" t="s">
        <v>533</v>
      </c>
      <c r="Z68" s="4" t="s">
        <v>528</v>
      </c>
      <c r="AA68" s="4" t="s">
        <v>534</v>
      </c>
      <c r="AB68" s="4" t="s">
        <v>535</v>
      </c>
      <c r="AC68" s="4" t="s">
        <v>536</v>
      </c>
      <c r="AD68" s="4" t="s">
        <v>17</v>
      </c>
      <c r="AE68" s="4" t="s">
        <v>18</v>
      </c>
      <c r="AF68" s="4" t="s">
        <v>19</v>
      </c>
      <c r="AG68" s="4" t="s">
        <v>19</v>
      </c>
      <c r="AH68" s="4" t="s">
        <v>535</v>
      </c>
    </row>
    <row r="69" spans="2:34" ht="15">
      <c r="B69" s="1" t="s">
        <v>20</v>
      </c>
      <c r="C69" s="2">
        <v>43521</v>
      </c>
      <c r="D69" s="1" t="s">
        <v>21</v>
      </c>
      <c r="E69" s="1" t="s">
        <v>80</v>
      </c>
      <c r="F69" s="1" t="s">
        <v>3</v>
      </c>
      <c r="G69" s="1" t="s">
        <v>85</v>
      </c>
      <c r="H69" s="1" t="s">
        <v>81</v>
      </c>
      <c r="I69" s="2">
        <v>43515</v>
      </c>
      <c r="J69" s="3">
        <v>0.3333333333333333</v>
      </c>
      <c r="K69" s="2">
        <v>43521</v>
      </c>
      <c r="L69" s="1" t="s">
        <v>6</v>
      </c>
      <c r="M69" s="1"/>
      <c r="N69" s="1"/>
      <c r="O69" s="1"/>
      <c r="P69" s="1" t="s">
        <v>84</v>
      </c>
      <c r="Q69" s="1" t="s">
        <v>4</v>
      </c>
      <c r="R69" s="1" t="s">
        <v>85</v>
      </c>
      <c r="S69" s="1" t="s">
        <v>85</v>
      </c>
      <c r="T69" s="1"/>
      <c r="U69" s="1"/>
      <c r="V69" s="1"/>
      <c r="W69" s="1" t="s">
        <v>27</v>
      </c>
      <c r="X69" s="1" t="s">
        <v>86</v>
      </c>
      <c r="Y69" s="1" t="s">
        <v>86</v>
      </c>
      <c r="Z69" s="1" t="s">
        <v>87</v>
      </c>
      <c r="AA69" s="1" t="s">
        <v>88</v>
      </c>
      <c r="AB69" s="1" t="s">
        <v>88</v>
      </c>
      <c r="AC69" s="1" t="s">
        <v>17</v>
      </c>
      <c r="AD69" s="1" t="s">
        <v>17</v>
      </c>
      <c r="AE69" s="1" t="s">
        <v>17</v>
      </c>
      <c r="AF69" s="1" t="s">
        <v>19</v>
      </c>
      <c r="AG69" s="1" t="s">
        <v>19</v>
      </c>
      <c r="AH69" s="1" t="s">
        <v>88</v>
      </c>
    </row>
    <row r="70" spans="2:34" ht="15">
      <c r="B70" s="4" t="s">
        <v>20</v>
      </c>
      <c r="C70" s="5">
        <v>43521</v>
      </c>
      <c r="D70" s="4" t="s">
        <v>21</v>
      </c>
      <c r="E70" s="4" t="s">
        <v>102</v>
      </c>
      <c r="F70" s="4" t="s">
        <v>3</v>
      </c>
      <c r="G70" s="4" t="s">
        <v>4</v>
      </c>
      <c r="H70" s="4" t="s">
        <v>81</v>
      </c>
      <c r="I70" s="5">
        <v>43515</v>
      </c>
      <c r="J70" s="6">
        <v>0.3333333333333333</v>
      </c>
      <c r="K70" s="5">
        <v>43521</v>
      </c>
      <c r="L70" s="4" t="s">
        <v>6</v>
      </c>
      <c r="M70" s="4"/>
      <c r="N70" s="4" t="s">
        <v>82</v>
      </c>
      <c r="O70" s="4" t="s">
        <v>83</v>
      </c>
      <c r="P70" s="4" t="s">
        <v>84</v>
      </c>
      <c r="Q70" s="4" t="s">
        <v>4</v>
      </c>
      <c r="R70" s="4" t="s">
        <v>85</v>
      </c>
      <c r="S70" s="4" t="s">
        <v>4</v>
      </c>
      <c r="T70" s="4"/>
      <c r="U70" s="4"/>
      <c r="V70" s="4"/>
      <c r="W70" s="4" t="s">
        <v>27</v>
      </c>
      <c r="X70" s="4" t="s">
        <v>86</v>
      </c>
      <c r="Y70" s="4" t="s">
        <v>86</v>
      </c>
      <c r="Z70" s="4" t="s">
        <v>87</v>
      </c>
      <c r="AA70" s="4" t="s">
        <v>88</v>
      </c>
      <c r="AB70" s="4" t="s">
        <v>88</v>
      </c>
      <c r="AC70" s="4" t="s">
        <v>17</v>
      </c>
      <c r="AD70" s="4" t="s">
        <v>17</v>
      </c>
      <c r="AE70" s="4" t="s">
        <v>17</v>
      </c>
      <c r="AF70" s="4" t="s">
        <v>19</v>
      </c>
      <c r="AG70" s="4" t="s">
        <v>19</v>
      </c>
      <c r="AH70" s="4" t="s">
        <v>88</v>
      </c>
    </row>
    <row r="71" spans="2:34" ht="15">
      <c r="B71" s="11" t="s">
        <v>20</v>
      </c>
      <c r="C71" s="12">
        <v>43524</v>
      </c>
      <c r="D71" s="11" t="s">
        <v>21</v>
      </c>
      <c r="E71" s="11" t="s">
        <v>103</v>
      </c>
      <c r="F71" s="11" t="s">
        <v>3</v>
      </c>
      <c r="G71" s="11" t="s">
        <v>4</v>
      </c>
      <c r="H71" s="11" t="s">
        <v>104</v>
      </c>
      <c r="I71" s="12">
        <v>43524</v>
      </c>
      <c r="J71" s="13">
        <v>0.375</v>
      </c>
      <c r="K71" s="12">
        <v>43529</v>
      </c>
      <c r="L71" s="11" t="s">
        <v>6</v>
      </c>
      <c r="M71" s="11"/>
      <c r="N71" s="11"/>
      <c r="O71" s="11" t="s">
        <v>105</v>
      </c>
      <c r="P71" s="11" t="s">
        <v>106</v>
      </c>
      <c r="Q71" s="11" t="s">
        <v>4</v>
      </c>
      <c r="R71" s="11" t="s">
        <v>85</v>
      </c>
      <c r="S71" s="11" t="s">
        <v>85</v>
      </c>
      <c r="T71" s="11"/>
      <c r="U71" s="11"/>
      <c r="V71" s="11"/>
      <c r="W71" s="11" t="s">
        <v>27</v>
      </c>
      <c r="X71" s="11" t="s">
        <v>107</v>
      </c>
      <c r="Y71" s="11" t="s">
        <v>107</v>
      </c>
      <c r="Z71" s="11" t="s">
        <v>18</v>
      </c>
      <c r="AA71" s="11" t="s">
        <v>107</v>
      </c>
      <c r="AB71" s="11" t="s">
        <v>107</v>
      </c>
      <c r="AC71" s="11" t="s">
        <v>17</v>
      </c>
      <c r="AD71" s="11" t="s">
        <v>17</v>
      </c>
      <c r="AE71" s="11" t="s">
        <v>17</v>
      </c>
      <c r="AF71" s="11" t="s">
        <v>19</v>
      </c>
      <c r="AG71" s="11" t="s">
        <v>19</v>
      </c>
      <c r="AH71" s="11" t="s">
        <v>107</v>
      </c>
    </row>
    <row r="72" spans="2:34" ht="15">
      <c r="B72" s="1" t="s">
        <v>20</v>
      </c>
      <c r="C72" s="2">
        <v>43528</v>
      </c>
      <c r="D72" s="1" t="s">
        <v>21</v>
      </c>
      <c r="E72" s="1" t="s">
        <v>537</v>
      </c>
      <c r="F72" s="1" t="s">
        <v>3</v>
      </c>
      <c r="G72" s="1" t="s">
        <v>4</v>
      </c>
      <c r="H72" s="1" t="s">
        <v>183</v>
      </c>
      <c r="I72" s="2">
        <v>43525</v>
      </c>
      <c r="J72" s="3">
        <v>0.5558680555555555</v>
      </c>
      <c r="K72" s="2">
        <v>43529</v>
      </c>
      <c r="L72" s="1" t="s">
        <v>6</v>
      </c>
      <c r="M72" s="1"/>
      <c r="N72" s="1" t="s">
        <v>538</v>
      </c>
      <c r="O72" s="1" t="s">
        <v>539</v>
      </c>
      <c r="P72" s="1" t="s">
        <v>540</v>
      </c>
      <c r="Q72" s="1" t="s">
        <v>4</v>
      </c>
      <c r="R72" s="1" t="s">
        <v>4</v>
      </c>
      <c r="S72" s="1" t="s">
        <v>10</v>
      </c>
      <c r="T72" s="1"/>
      <c r="U72" s="1"/>
      <c r="V72" s="1"/>
      <c r="W72" s="1" t="s">
        <v>11</v>
      </c>
      <c r="X72" s="1" t="s">
        <v>541</v>
      </c>
      <c r="Y72" s="1" t="s">
        <v>541</v>
      </c>
      <c r="Z72" s="1" t="s">
        <v>542</v>
      </c>
      <c r="AA72" s="1" t="s">
        <v>543</v>
      </c>
      <c r="AB72" s="1" t="s">
        <v>544</v>
      </c>
      <c r="AC72" s="1" t="s">
        <v>545</v>
      </c>
      <c r="AD72" s="1" t="s">
        <v>17</v>
      </c>
      <c r="AE72" s="1" t="s">
        <v>18</v>
      </c>
      <c r="AF72" s="1" t="s">
        <v>19</v>
      </c>
      <c r="AG72" s="1" t="s">
        <v>19</v>
      </c>
      <c r="AH72" s="1" t="s">
        <v>544</v>
      </c>
    </row>
    <row r="73" spans="2:34" ht="15">
      <c r="B73" s="4" t="s">
        <v>0</v>
      </c>
      <c r="C73" s="5">
        <v>43528</v>
      </c>
      <c r="D73" s="4" t="s">
        <v>1</v>
      </c>
      <c r="E73" s="4" t="s">
        <v>546</v>
      </c>
      <c r="F73" s="4" t="s">
        <v>3</v>
      </c>
      <c r="G73" s="4" t="s">
        <v>4</v>
      </c>
      <c r="H73" s="4" t="s">
        <v>547</v>
      </c>
      <c r="I73" s="5">
        <v>43525</v>
      </c>
      <c r="J73" s="6">
        <v>0.45902777777777776</v>
      </c>
      <c r="K73" s="5">
        <v>43529</v>
      </c>
      <c r="L73" s="4" t="s">
        <v>6</v>
      </c>
      <c r="M73" s="4"/>
      <c r="N73" s="4" t="s">
        <v>39</v>
      </c>
      <c r="O73" s="4" t="s">
        <v>40</v>
      </c>
      <c r="P73" s="4" t="s">
        <v>41</v>
      </c>
      <c r="Q73" s="4" t="s">
        <v>4</v>
      </c>
      <c r="R73" s="4" t="s">
        <v>4</v>
      </c>
      <c r="S73" s="4" t="s">
        <v>10</v>
      </c>
      <c r="T73" s="4"/>
      <c r="U73" s="4"/>
      <c r="V73" s="4"/>
      <c r="W73" s="4" t="s">
        <v>27</v>
      </c>
      <c r="X73" s="4" t="s">
        <v>548</v>
      </c>
      <c r="Y73" s="4" t="s">
        <v>548</v>
      </c>
      <c r="Z73" s="4" t="s">
        <v>549</v>
      </c>
      <c r="AA73" s="4" t="s">
        <v>550</v>
      </c>
      <c r="AB73" s="4" t="s">
        <v>551</v>
      </c>
      <c r="AC73" s="4" t="s">
        <v>552</v>
      </c>
      <c r="AD73" s="4" t="s">
        <v>17</v>
      </c>
      <c r="AE73" s="4" t="s">
        <v>18</v>
      </c>
      <c r="AF73" s="4" t="s">
        <v>19</v>
      </c>
      <c r="AG73" s="4" t="s">
        <v>19</v>
      </c>
      <c r="AH73" s="4" t="s">
        <v>551</v>
      </c>
    </row>
    <row r="74" spans="2:34" ht="15">
      <c r="B74" s="1" t="s">
        <v>0</v>
      </c>
      <c r="C74" s="2">
        <v>43528</v>
      </c>
      <c r="D74" s="1" t="s">
        <v>1</v>
      </c>
      <c r="E74" s="1" t="s">
        <v>553</v>
      </c>
      <c r="F74" s="1" t="s">
        <v>3</v>
      </c>
      <c r="G74" s="1" t="s">
        <v>4</v>
      </c>
      <c r="H74" s="1" t="s">
        <v>23</v>
      </c>
      <c r="I74" s="2">
        <v>43525</v>
      </c>
      <c r="J74" s="3">
        <v>0.4748611111111111</v>
      </c>
      <c r="K74" s="2">
        <v>43529</v>
      </c>
      <c r="L74" s="1" t="s">
        <v>6</v>
      </c>
      <c r="M74" s="1"/>
      <c r="N74" s="1" t="s">
        <v>554</v>
      </c>
      <c r="O74" s="1" t="s">
        <v>555</v>
      </c>
      <c r="P74" s="1" t="s">
        <v>556</v>
      </c>
      <c r="Q74" s="1" t="s">
        <v>4</v>
      </c>
      <c r="R74" s="1" t="s">
        <v>4</v>
      </c>
      <c r="S74" s="1" t="s">
        <v>10</v>
      </c>
      <c r="T74" s="1"/>
      <c r="U74" s="1"/>
      <c r="V74" s="1"/>
      <c r="W74" s="1" t="s">
        <v>27</v>
      </c>
      <c r="X74" s="1" t="s">
        <v>557</v>
      </c>
      <c r="Y74" s="1" t="s">
        <v>557</v>
      </c>
      <c r="Z74" s="1" t="s">
        <v>558</v>
      </c>
      <c r="AA74" s="1" t="s">
        <v>559</v>
      </c>
      <c r="AB74" s="1" t="s">
        <v>560</v>
      </c>
      <c r="AC74" s="1" t="s">
        <v>561</v>
      </c>
      <c r="AD74" s="1" t="s">
        <v>17</v>
      </c>
      <c r="AE74" s="1" t="s">
        <v>18</v>
      </c>
      <c r="AF74" s="1" t="s">
        <v>19</v>
      </c>
      <c r="AG74" s="1" t="s">
        <v>19</v>
      </c>
      <c r="AH74" s="1" t="s">
        <v>560</v>
      </c>
    </row>
    <row r="75" spans="2:34" ht="15">
      <c r="B75" s="4" t="s">
        <v>153</v>
      </c>
      <c r="C75" s="5">
        <v>43528</v>
      </c>
      <c r="D75" s="4" t="s">
        <v>154</v>
      </c>
      <c r="E75" s="4" t="s">
        <v>562</v>
      </c>
      <c r="F75" s="4" t="s">
        <v>3</v>
      </c>
      <c r="G75" s="4" t="s">
        <v>4</v>
      </c>
      <c r="H75" s="4" t="s">
        <v>547</v>
      </c>
      <c r="I75" s="5">
        <v>43525</v>
      </c>
      <c r="J75" s="6">
        <v>0.45902777777777776</v>
      </c>
      <c r="K75" s="5">
        <v>43529</v>
      </c>
      <c r="L75" s="4" t="s">
        <v>6</v>
      </c>
      <c r="M75" s="4"/>
      <c r="N75" s="4" t="s">
        <v>39</v>
      </c>
      <c r="O75" s="4" t="s">
        <v>40</v>
      </c>
      <c r="P75" s="4" t="s">
        <v>41</v>
      </c>
      <c r="Q75" s="4" t="s">
        <v>4</v>
      </c>
      <c r="R75" s="4" t="s">
        <v>4</v>
      </c>
      <c r="S75" s="4" t="s">
        <v>10</v>
      </c>
      <c r="T75" s="4"/>
      <c r="U75" s="4"/>
      <c r="V75" s="4"/>
      <c r="W75" s="4" t="s">
        <v>27</v>
      </c>
      <c r="X75" s="4" t="s">
        <v>563</v>
      </c>
      <c r="Y75" s="4" t="s">
        <v>563</v>
      </c>
      <c r="Z75" s="4" t="s">
        <v>549</v>
      </c>
      <c r="AA75" s="4" t="s">
        <v>564</v>
      </c>
      <c r="AB75" s="4" t="s">
        <v>565</v>
      </c>
      <c r="AC75" s="4" t="s">
        <v>566</v>
      </c>
      <c r="AD75" s="4" t="s">
        <v>17</v>
      </c>
      <c r="AE75" s="4" t="s">
        <v>17</v>
      </c>
      <c r="AF75" s="4" t="s">
        <v>19</v>
      </c>
      <c r="AG75" s="4" t="s">
        <v>19</v>
      </c>
      <c r="AH75" s="4" t="s">
        <v>565</v>
      </c>
    </row>
    <row r="76" spans="2:34" ht="15">
      <c r="B76" s="1" t="s">
        <v>20</v>
      </c>
      <c r="C76" s="2">
        <v>43529</v>
      </c>
      <c r="D76" s="1" t="s">
        <v>21</v>
      </c>
      <c r="E76" s="1" t="s">
        <v>103</v>
      </c>
      <c r="F76" s="1" t="s">
        <v>3</v>
      </c>
      <c r="G76" s="1" t="s">
        <v>85</v>
      </c>
      <c r="H76" s="1" t="s">
        <v>104</v>
      </c>
      <c r="I76" s="2">
        <v>43524</v>
      </c>
      <c r="J76" s="3">
        <v>0.375</v>
      </c>
      <c r="K76" s="2">
        <v>43529</v>
      </c>
      <c r="L76" s="1" t="s">
        <v>6</v>
      </c>
      <c r="M76" s="1"/>
      <c r="N76" s="1"/>
      <c r="O76" s="1" t="s">
        <v>105</v>
      </c>
      <c r="P76" s="1" t="s">
        <v>106</v>
      </c>
      <c r="Q76" s="1" t="s">
        <v>4</v>
      </c>
      <c r="R76" s="1" t="s">
        <v>85</v>
      </c>
      <c r="S76" s="1" t="s">
        <v>85</v>
      </c>
      <c r="T76" s="1"/>
      <c r="U76" s="1"/>
      <c r="V76" s="1"/>
      <c r="W76" s="1" t="s">
        <v>27</v>
      </c>
      <c r="X76" s="1" t="s">
        <v>107</v>
      </c>
      <c r="Y76" s="1" t="s">
        <v>107</v>
      </c>
      <c r="Z76" s="1" t="s">
        <v>18</v>
      </c>
      <c r="AA76" s="1" t="s">
        <v>107</v>
      </c>
      <c r="AB76" s="1" t="s">
        <v>107</v>
      </c>
      <c r="AC76" s="1" t="s">
        <v>17</v>
      </c>
      <c r="AD76" s="1" t="s">
        <v>17</v>
      </c>
      <c r="AE76" s="1" t="s">
        <v>17</v>
      </c>
      <c r="AF76" s="1" t="s">
        <v>19</v>
      </c>
      <c r="AG76" s="1" t="s">
        <v>19</v>
      </c>
      <c r="AH76" s="1" t="s">
        <v>107</v>
      </c>
    </row>
    <row r="77" spans="2:34" ht="15">
      <c r="B77" s="4" t="s">
        <v>20</v>
      </c>
      <c r="C77" s="5">
        <v>43529</v>
      </c>
      <c r="D77" s="4" t="s">
        <v>21</v>
      </c>
      <c r="E77" s="4" t="s">
        <v>567</v>
      </c>
      <c r="F77" s="4" t="s">
        <v>3</v>
      </c>
      <c r="G77" s="4" t="s">
        <v>4</v>
      </c>
      <c r="H77" s="4" t="s">
        <v>104</v>
      </c>
      <c r="I77" s="5">
        <v>43524</v>
      </c>
      <c r="J77" s="6">
        <v>0.375</v>
      </c>
      <c r="K77" s="5">
        <v>43529</v>
      </c>
      <c r="L77" s="4" t="s">
        <v>6</v>
      </c>
      <c r="M77" s="4"/>
      <c r="N77" s="4" t="s">
        <v>568</v>
      </c>
      <c r="O77" s="4" t="s">
        <v>105</v>
      </c>
      <c r="P77" s="4" t="s">
        <v>106</v>
      </c>
      <c r="Q77" s="4" t="s">
        <v>4</v>
      </c>
      <c r="R77" s="4" t="s">
        <v>85</v>
      </c>
      <c r="S77" s="4" t="s">
        <v>4</v>
      </c>
      <c r="T77" s="4"/>
      <c r="U77" s="4"/>
      <c r="V77" s="4"/>
      <c r="W77" s="4" t="s">
        <v>27</v>
      </c>
      <c r="X77" s="4" t="s">
        <v>107</v>
      </c>
      <c r="Y77" s="4" t="s">
        <v>107</v>
      </c>
      <c r="Z77" s="4" t="s">
        <v>18</v>
      </c>
      <c r="AA77" s="4" t="s">
        <v>107</v>
      </c>
      <c r="AB77" s="4" t="s">
        <v>107</v>
      </c>
      <c r="AC77" s="4" t="s">
        <v>17</v>
      </c>
      <c r="AD77" s="4" t="s">
        <v>17</v>
      </c>
      <c r="AE77" s="4" t="s">
        <v>17</v>
      </c>
      <c r="AF77" s="4" t="s">
        <v>19</v>
      </c>
      <c r="AG77" s="4" t="s">
        <v>19</v>
      </c>
      <c r="AH77" s="4" t="s">
        <v>107</v>
      </c>
    </row>
    <row r="78" spans="2:34" ht="15">
      <c r="B78" s="1" t="s">
        <v>20</v>
      </c>
      <c r="C78" s="2">
        <v>43530</v>
      </c>
      <c r="D78" s="1" t="s">
        <v>21</v>
      </c>
      <c r="E78" s="1" t="s">
        <v>569</v>
      </c>
      <c r="F78" s="1" t="s">
        <v>3</v>
      </c>
      <c r="G78" s="1" t="s">
        <v>4</v>
      </c>
      <c r="H78" s="1" t="s">
        <v>183</v>
      </c>
      <c r="I78" s="2">
        <v>43529</v>
      </c>
      <c r="J78" s="3">
        <v>0.6163541666666666</v>
      </c>
      <c r="K78" s="2">
        <v>43531</v>
      </c>
      <c r="L78" s="1" t="s">
        <v>6</v>
      </c>
      <c r="M78" s="1"/>
      <c r="N78" s="1" t="s">
        <v>538</v>
      </c>
      <c r="O78" s="1" t="s">
        <v>539</v>
      </c>
      <c r="P78" s="1" t="s">
        <v>540</v>
      </c>
      <c r="Q78" s="1" t="s">
        <v>4</v>
      </c>
      <c r="R78" s="1" t="s">
        <v>4</v>
      </c>
      <c r="S78" s="1" t="s">
        <v>10</v>
      </c>
      <c r="T78" s="1"/>
      <c r="U78" s="1"/>
      <c r="V78" s="1"/>
      <c r="W78" s="1" t="s">
        <v>11</v>
      </c>
      <c r="X78" s="1" t="s">
        <v>570</v>
      </c>
      <c r="Y78" s="1" t="s">
        <v>570</v>
      </c>
      <c r="Z78" s="1" t="s">
        <v>542</v>
      </c>
      <c r="AA78" s="1" t="s">
        <v>571</v>
      </c>
      <c r="AB78" s="1" t="s">
        <v>572</v>
      </c>
      <c r="AC78" s="1" t="s">
        <v>573</v>
      </c>
      <c r="AD78" s="1" t="s">
        <v>17</v>
      </c>
      <c r="AE78" s="1" t="s">
        <v>18</v>
      </c>
      <c r="AF78" s="1" t="s">
        <v>19</v>
      </c>
      <c r="AG78" s="1" t="s">
        <v>19</v>
      </c>
      <c r="AH78" s="1" t="s">
        <v>572</v>
      </c>
    </row>
    <row r="79" spans="2:34" ht="15">
      <c r="B79" s="4" t="s">
        <v>20</v>
      </c>
      <c r="C79" s="5">
        <v>43530</v>
      </c>
      <c r="D79" s="4" t="s">
        <v>21</v>
      </c>
      <c r="E79" s="4" t="s">
        <v>574</v>
      </c>
      <c r="F79" s="4" t="s">
        <v>3</v>
      </c>
      <c r="G79" s="4" t="s">
        <v>4</v>
      </c>
      <c r="H79" s="4" t="s">
        <v>90</v>
      </c>
      <c r="I79" s="5">
        <v>43529</v>
      </c>
      <c r="J79" s="6">
        <v>0.6943287037037037</v>
      </c>
      <c r="K79" s="5">
        <v>43531</v>
      </c>
      <c r="L79" s="4" t="s">
        <v>6</v>
      </c>
      <c r="M79" s="4"/>
      <c r="N79" s="4" t="s">
        <v>91</v>
      </c>
      <c r="O79" s="4" t="s">
        <v>92</v>
      </c>
      <c r="P79" s="4" t="s">
        <v>575</v>
      </c>
      <c r="Q79" s="4" t="s">
        <v>4</v>
      </c>
      <c r="R79" s="4" t="s">
        <v>4</v>
      </c>
      <c r="S79" s="4" t="s">
        <v>10</v>
      </c>
      <c r="T79" s="4"/>
      <c r="U79" s="4"/>
      <c r="V79" s="4"/>
      <c r="W79" s="4" t="s">
        <v>11</v>
      </c>
      <c r="X79" s="4" t="s">
        <v>576</v>
      </c>
      <c r="Y79" s="4" t="s">
        <v>576</v>
      </c>
      <c r="Z79" s="4" t="s">
        <v>577</v>
      </c>
      <c r="AA79" s="4" t="s">
        <v>578</v>
      </c>
      <c r="AB79" s="4" t="s">
        <v>579</v>
      </c>
      <c r="AC79" s="4" t="s">
        <v>580</v>
      </c>
      <c r="AD79" s="4" t="s">
        <v>17</v>
      </c>
      <c r="AE79" s="4" t="s">
        <v>18</v>
      </c>
      <c r="AF79" s="4" t="s">
        <v>19</v>
      </c>
      <c r="AG79" s="4" t="s">
        <v>19</v>
      </c>
      <c r="AH79" s="4" t="s">
        <v>579</v>
      </c>
    </row>
    <row r="80" spans="2:34" ht="15">
      <c r="B80" s="1" t="s">
        <v>0</v>
      </c>
      <c r="C80" s="2">
        <v>43530</v>
      </c>
      <c r="D80" s="1" t="s">
        <v>1</v>
      </c>
      <c r="E80" s="1" t="s">
        <v>581</v>
      </c>
      <c r="F80" s="1" t="s">
        <v>3</v>
      </c>
      <c r="G80" s="1" t="s">
        <v>4</v>
      </c>
      <c r="H80" s="1" t="s">
        <v>90</v>
      </c>
      <c r="I80" s="2">
        <v>43529</v>
      </c>
      <c r="J80" s="3">
        <v>0.6943287037037037</v>
      </c>
      <c r="K80" s="2">
        <v>43531</v>
      </c>
      <c r="L80" s="1" t="s">
        <v>6</v>
      </c>
      <c r="M80" s="1"/>
      <c r="N80" s="1" t="s">
        <v>91</v>
      </c>
      <c r="O80" s="1" t="s">
        <v>92</v>
      </c>
      <c r="P80" s="1" t="s">
        <v>575</v>
      </c>
      <c r="Q80" s="1" t="s">
        <v>4</v>
      </c>
      <c r="R80" s="1" t="s">
        <v>4</v>
      </c>
      <c r="S80" s="1" t="s">
        <v>10</v>
      </c>
      <c r="T80" s="1"/>
      <c r="U80" s="1"/>
      <c r="V80" s="1"/>
      <c r="W80" s="1" t="s">
        <v>11</v>
      </c>
      <c r="X80" s="1" t="s">
        <v>582</v>
      </c>
      <c r="Y80" s="1" t="s">
        <v>582</v>
      </c>
      <c r="Z80" s="1" t="s">
        <v>577</v>
      </c>
      <c r="AA80" s="1" t="s">
        <v>583</v>
      </c>
      <c r="AB80" s="1" t="s">
        <v>584</v>
      </c>
      <c r="AC80" s="1" t="s">
        <v>585</v>
      </c>
      <c r="AD80" s="1" t="s">
        <v>17</v>
      </c>
      <c r="AE80" s="1" t="s">
        <v>18</v>
      </c>
      <c r="AF80" s="1" t="s">
        <v>19</v>
      </c>
      <c r="AG80" s="1" t="s">
        <v>19</v>
      </c>
      <c r="AH80" s="1" t="s">
        <v>584</v>
      </c>
    </row>
    <row r="81" spans="2:34" ht="15">
      <c r="B81" s="4" t="s">
        <v>20</v>
      </c>
      <c r="C81" s="5">
        <v>43536</v>
      </c>
      <c r="D81" s="4" t="s">
        <v>21</v>
      </c>
      <c r="E81" s="4" t="s">
        <v>586</v>
      </c>
      <c r="F81" s="4" t="s">
        <v>3</v>
      </c>
      <c r="G81" s="4" t="s">
        <v>4</v>
      </c>
      <c r="H81" s="4" t="s">
        <v>119</v>
      </c>
      <c r="I81" s="5">
        <v>43535</v>
      </c>
      <c r="J81" s="6">
        <v>0.5616087962962963</v>
      </c>
      <c r="K81" s="5">
        <v>43536</v>
      </c>
      <c r="L81" s="4" t="s">
        <v>6</v>
      </c>
      <c r="M81" s="4"/>
      <c r="N81" s="4" t="s">
        <v>587</v>
      </c>
      <c r="O81" s="4" t="s">
        <v>588</v>
      </c>
      <c r="P81" s="4" t="s">
        <v>589</v>
      </c>
      <c r="Q81" s="4" t="s">
        <v>4</v>
      </c>
      <c r="R81" s="4" t="s">
        <v>4</v>
      </c>
      <c r="S81" s="4" t="s">
        <v>10</v>
      </c>
      <c r="T81" s="4"/>
      <c r="U81" s="4"/>
      <c r="V81" s="4"/>
      <c r="W81" s="4" t="s">
        <v>11</v>
      </c>
      <c r="X81" s="4" t="s">
        <v>590</v>
      </c>
      <c r="Y81" s="4" t="s">
        <v>590</v>
      </c>
      <c r="Z81" s="4" t="s">
        <v>591</v>
      </c>
      <c r="AA81" s="4" t="s">
        <v>592</v>
      </c>
      <c r="AB81" s="4" t="s">
        <v>593</v>
      </c>
      <c r="AC81" s="4" t="s">
        <v>594</v>
      </c>
      <c r="AD81" s="4" t="s">
        <v>17</v>
      </c>
      <c r="AE81" s="4" t="s">
        <v>18</v>
      </c>
      <c r="AF81" s="4" t="s">
        <v>19</v>
      </c>
      <c r="AG81" s="4" t="s">
        <v>19</v>
      </c>
      <c r="AH81" s="4" t="s">
        <v>593</v>
      </c>
    </row>
    <row r="82" spans="2:34" ht="15">
      <c r="B82" s="1" t="s">
        <v>153</v>
      </c>
      <c r="C82" s="2">
        <v>43537</v>
      </c>
      <c r="D82" s="1" t="s">
        <v>154</v>
      </c>
      <c r="E82" s="1" t="s">
        <v>595</v>
      </c>
      <c r="F82" s="1" t="s">
        <v>3</v>
      </c>
      <c r="G82" s="1" t="s">
        <v>4</v>
      </c>
      <c r="H82" s="1" t="s">
        <v>325</v>
      </c>
      <c r="I82" s="2">
        <v>43537</v>
      </c>
      <c r="J82" s="3">
        <v>0.44583333333333336</v>
      </c>
      <c r="K82" s="2">
        <v>43539</v>
      </c>
      <c r="L82" s="1" t="s">
        <v>6</v>
      </c>
      <c r="M82" s="1"/>
      <c r="N82" s="1" t="s">
        <v>596</v>
      </c>
      <c r="O82" s="1" t="s">
        <v>597</v>
      </c>
      <c r="P82" s="1" t="s">
        <v>598</v>
      </c>
      <c r="Q82" s="1" t="s">
        <v>4</v>
      </c>
      <c r="R82" s="1" t="s">
        <v>4</v>
      </c>
      <c r="S82" s="1" t="s">
        <v>10</v>
      </c>
      <c r="T82" s="1"/>
      <c r="U82" s="1"/>
      <c r="V82" s="1"/>
      <c r="W82" s="1" t="s">
        <v>27</v>
      </c>
      <c r="X82" s="1" t="s">
        <v>599</v>
      </c>
      <c r="Y82" s="1" t="s">
        <v>599</v>
      </c>
      <c r="Z82" s="1" t="s">
        <v>600</v>
      </c>
      <c r="AA82" s="1" t="s">
        <v>601</v>
      </c>
      <c r="AB82" s="1" t="s">
        <v>602</v>
      </c>
      <c r="AC82" s="1" t="s">
        <v>603</v>
      </c>
      <c r="AD82" s="1" t="s">
        <v>17</v>
      </c>
      <c r="AE82" s="1" t="s">
        <v>17</v>
      </c>
      <c r="AF82" s="1" t="s">
        <v>19</v>
      </c>
      <c r="AG82" s="1" t="s">
        <v>19</v>
      </c>
      <c r="AH82" s="1" t="s">
        <v>602</v>
      </c>
    </row>
    <row r="83" spans="2:34" ht="15">
      <c r="B83" s="4" t="s">
        <v>153</v>
      </c>
      <c r="C83" s="5">
        <v>43538</v>
      </c>
      <c r="D83" s="4" t="s">
        <v>154</v>
      </c>
      <c r="E83" s="4" t="s">
        <v>604</v>
      </c>
      <c r="F83" s="4" t="s">
        <v>3</v>
      </c>
      <c r="G83" s="4" t="s">
        <v>4</v>
      </c>
      <c r="H83" s="4" t="s">
        <v>325</v>
      </c>
      <c r="I83" s="5">
        <v>43537</v>
      </c>
      <c r="J83" s="6">
        <v>0.5590277777777778</v>
      </c>
      <c r="K83" s="5">
        <v>43539</v>
      </c>
      <c r="L83" s="4" t="s">
        <v>6</v>
      </c>
      <c r="M83" s="4"/>
      <c r="N83" s="4" t="s">
        <v>596</v>
      </c>
      <c r="O83" s="4" t="s">
        <v>597</v>
      </c>
      <c r="P83" s="4" t="s">
        <v>598</v>
      </c>
      <c r="Q83" s="4" t="s">
        <v>4</v>
      </c>
      <c r="R83" s="4" t="s">
        <v>4</v>
      </c>
      <c r="S83" s="4" t="s">
        <v>10</v>
      </c>
      <c r="T83" s="4"/>
      <c r="U83" s="4"/>
      <c r="V83" s="4"/>
      <c r="W83" s="4" t="s">
        <v>27</v>
      </c>
      <c r="X83" s="4" t="s">
        <v>599</v>
      </c>
      <c r="Y83" s="4" t="s">
        <v>599</v>
      </c>
      <c r="Z83" s="4" t="s">
        <v>605</v>
      </c>
      <c r="AA83" s="4" t="s">
        <v>606</v>
      </c>
      <c r="AB83" s="4" t="s">
        <v>607</v>
      </c>
      <c r="AC83" s="4" t="s">
        <v>608</v>
      </c>
      <c r="AD83" s="4" t="s">
        <v>17</v>
      </c>
      <c r="AE83" s="4" t="s">
        <v>17</v>
      </c>
      <c r="AF83" s="4" t="s">
        <v>19</v>
      </c>
      <c r="AG83" s="4" t="s">
        <v>19</v>
      </c>
      <c r="AH83" s="4" t="s">
        <v>607</v>
      </c>
    </row>
    <row r="84" spans="2:34" ht="15">
      <c r="B84" s="1" t="s">
        <v>153</v>
      </c>
      <c r="C84" s="2">
        <v>43538</v>
      </c>
      <c r="D84" s="1" t="s">
        <v>154</v>
      </c>
      <c r="E84" s="1" t="s">
        <v>609</v>
      </c>
      <c r="F84" s="1" t="s">
        <v>3</v>
      </c>
      <c r="G84" s="1" t="s">
        <v>4</v>
      </c>
      <c r="H84" s="1" t="s">
        <v>325</v>
      </c>
      <c r="I84" s="2">
        <v>43537</v>
      </c>
      <c r="J84" s="3">
        <v>0.5673611111111111</v>
      </c>
      <c r="K84" s="2">
        <v>43539</v>
      </c>
      <c r="L84" s="1" t="s">
        <v>6</v>
      </c>
      <c r="M84" s="1"/>
      <c r="N84" s="1" t="s">
        <v>596</v>
      </c>
      <c r="O84" s="1" t="s">
        <v>597</v>
      </c>
      <c r="P84" s="1" t="s">
        <v>598</v>
      </c>
      <c r="Q84" s="1" t="s">
        <v>4</v>
      </c>
      <c r="R84" s="1" t="s">
        <v>4</v>
      </c>
      <c r="S84" s="1" t="s">
        <v>10</v>
      </c>
      <c r="T84" s="1"/>
      <c r="U84" s="1"/>
      <c r="V84" s="1"/>
      <c r="W84" s="1" t="s">
        <v>27</v>
      </c>
      <c r="X84" s="1" t="s">
        <v>610</v>
      </c>
      <c r="Y84" s="1" t="s">
        <v>610</v>
      </c>
      <c r="Z84" s="1" t="s">
        <v>605</v>
      </c>
      <c r="AA84" s="1" t="s">
        <v>611</v>
      </c>
      <c r="AB84" s="1" t="s">
        <v>612</v>
      </c>
      <c r="AC84" s="1" t="s">
        <v>613</v>
      </c>
      <c r="AD84" s="1" t="s">
        <v>17</v>
      </c>
      <c r="AE84" s="1" t="s">
        <v>17</v>
      </c>
      <c r="AF84" s="1" t="s">
        <v>19</v>
      </c>
      <c r="AG84" s="1" t="s">
        <v>19</v>
      </c>
      <c r="AH84" s="1" t="s">
        <v>612</v>
      </c>
    </row>
    <row r="85" spans="2:34" ht="15">
      <c r="B85" s="4" t="s">
        <v>20</v>
      </c>
      <c r="C85" s="5">
        <v>43542</v>
      </c>
      <c r="D85" s="4" t="s">
        <v>21</v>
      </c>
      <c r="E85" s="4" t="s">
        <v>614</v>
      </c>
      <c r="F85" s="4" t="s">
        <v>3</v>
      </c>
      <c r="G85" s="4" t="s">
        <v>4</v>
      </c>
      <c r="H85" s="4" t="s">
        <v>90</v>
      </c>
      <c r="I85" s="5">
        <v>43539</v>
      </c>
      <c r="J85" s="6">
        <v>0.6465856481481481</v>
      </c>
      <c r="K85" s="5">
        <v>43543</v>
      </c>
      <c r="L85" s="4" t="s">
        <v>6</v>
      </c>
      <c r="M85" s="4"/>
      <c r="N85" s="4" t="s">
        <v>91</v>
      </c>
      <c r="O85" s="4" t="s">
        <v>92</v>
      </c>
      <c r="P85" s="4" t="s">
        <v>575</v>
      </c>
      <c r="Q85" s="4" t="s">
        <v>4</v>
      </c>
      <c r="R85" s="4" t="s">
        <v>4</v>
      </c>
      <c r="S85" s="4" t="s">
        <v>10</v>
      </c>
      <c r="T85" s="4"/>
      <c r="U85" s="4"/>
      <c r="V85" s="4"/>
      <c r="W85" s="4" t="s">
        <v>11</v>
      </c>
      <c r="X85" s="4" t="s">
        <v>615</v>
      </c>
      <c r="Y85" s="4" t="s">
        <v>615</v>
      </c>
      <c r="Z85" s="4" t="s">
        <v>616</v>
      </c>
      <c r="AA85" s="4" t="s">
        <v>617</v>
      </c>
      <c r="AB85" s="4" t="s">
        <v>618</v>
      </c>
      <c r="AC85" s="4" t="s">
        <v>619</v>
      </c>
      <c r="AD85" s="4" t="s">
        <v>17</v>
      </c>
      <c r="AE85" s="4" t="s">
        <v>18</v>
      </c>
      <c r="AF85" s="4" t="s">
        <v>19</v>
      </c>
      <c r="AG85" s="4" t="s">
        <v>19</v>
      </c>
      <c r="AH85" s="4" t="s">
        <v>618</v>
      </c>
    </row>
    <row r="86" spans="2:34" ht="15">
      <c r="B86" s="1" t="s">
        <v>20</v>
      </c>
      <c r="C86" s="2">
        <v>43542</v>
      </c>
      <c r="D86" s="1" t="s">
        <v>21</v>
      </c>
      <c r="E86" s="1" t="s">
        <v>620</v>
      </c>
      <c r="F86" s="1" t="s">
        <v>3</v>
      </c>
      <c r="G86" s="1" t="s">
        <v>4</v>
      </c>
      <c r="H86" s="1" t="s">
        <v>23</v>
      </c>
      <c r="I86" s="2">
        <v>43542</v>
      </c>
      <c r="J86" s="3"/>
      <c r="K86" s="2">
        <v>43545</v>
      </c>
      <c r="L86" s="1" t="s">
        <v>6</v>
      </c>
      <c r="M86" s="1"/>
      <c r="N86" s="1"/>
      <c r="O86" s="1" t="s">
        <v>621</v>
      </c>
      <c r="P86" s="1" t="s">
        <v>622</v>
      </c>
      <c r="Q86" s="1" t="s">
        <v>4</v>
      </c>
      <c r="R86" s="1" t="s">
        <v>85</v>
      </c>
      <c r="S86" s="1" t="s">
        <v>85</v>
      </c>
      <c r="T86" s="1"/>
      <c r="U86" s="1"/>
      <c r="V86" s="1"/>
      <c r="W86" s="1" t="s">
        <v>27</v>
      </c>
      <c r="X86" s="1" t="s">
        <v>623</v>
      </c>
      <c r="Y86" s="1" t="s">
        <v>623</v>
      </c>
      <c r="Z86" s="1" t="s">
        <v>624</v>
      </c>
      <c r="AA86" s="1" t="s">
        <v>625</v>
      </c>
      <c r="AB86" s="1" t="s">
        <v>625</v>
      </c>
      <c r="AC86" s="1" t="s">
        <v>17</v>
      </c>
      <c r="AD86" s="1" t="s">
        <v>17</v>
      </c>
      <c r="AE86" s="1" t="s">
        <v>17</v>
      </c>
      <c r="AF86" s="1" t="s">
        <v>19</v>
      </c>
      <c r="AG86" s="1" t="s">
        <v>19</v>
      </c>
      <c r="AH86" s="1" t="s">
        <v>625</v>
      </c>
    </row>
    <row r="87" spans="2:34" ht="15">
      <c r="B87" s="4" t="s">
        <v>0</v>
      </c>
      <c r="C87" s="5">
        <v>43542</v>
      </c>
      <c r="D87" s="4" t="s">
        <v>1</v>
      </c>
      <c r="E87" s="4" t="s">
        <v>626</v>
      </c>
      <c r="F87" s="4" t="s">
        <v>3</v>
      </c>
      <c r="G87" s="4" t="s">
        <v>4</v>
      </c>
      <c r="H87" s="4" t="s">
        <v>90</v>
      </c>
      <c r="I87" s="5">
        <v>43539</v>
      </c>
      <c r="J87" s="6">
        <v>0.6465856481481481</v>
      </c>
      <c r="K87" s="5">
        <v>43543</v>
      </c>
      <c r="L87" s="4" t="s">
        <v>6</v>
      </c>
      <c r="M87" s="4"/>
      <c r="N87" s="4" t="s">
        <v>91</v>
      </c>
      <c r="O87" s="4" t="s">
        <v>92</v>
      </c>
      <c r="P87" s="4" t="s">
        <v>575</v>
      </c>
      <c r="Q87" s="4" t="s">
        <v>4</v>
      </c>
      <c r="R87" s="4" t="s">
        <v>4</v>
      </c>
      <c r="S87" s="4" t="s">
        <v>10</v>
      </c>
      <c r="T87" s="4"/>
      <c r="U87" s="4"/>
      <c r="V87" s="4"/>
      <c r="W87" s="4" t="s">
        <v>11</v>
      </c>
      <c r="X87" s="4" t="s">
        <v>627</v>
      </c>
      <c r="Y87" s="4" t="s">
        <v>627</v>
      </c>
      <c r="Z87" s="4" t="s">
        <v>616</v>
      </c>
      <c r="AA87" s="4" t="s">
        <v>628</v>
      </c>
      <c r="AB87" s="4" t="s">
        <v>629</v>
      </c>
      <c r="AC87" s="4" t="s">
        <v>630</v>
      </c>
      <c r="AD87" s="4" t="s">
        <v>17</v>
      </c>
      <c r="AE87" s="4" t="s">
        <v>18</v>
      </c>
      <c r="AF87" s="4" t="s">
        <v>19</v>
      </c>
      <c r="AG87" s="4" t="s">
        <v>19</v>
      </c>
      <c r="AH87" s="4" t="s">
        <v>629</v>
      </c>
    </row>
    <row r="88" spans="2:34" ht="15">
      <c r="B88" s="1" t="s">
        <v>0</v>
      </c>
      <c r="C88" s="2">
        <v>43543</v>
      </c>
      <c r="D88" s="1" t="s">
        <v>1</v>
      </c>
      <c r="E88" s="1" t="s">
        <v>631</v>
      </c>
      <c r="F88" s="1" t="s">
        <v>3</v>
      </c>
      <c r="G88" s="1" t="s">
        <v>4</v>
      </c>
      <c r="H88" s="1" t="s">
        <v>632</v>
      </c>
      <c r="I88" s="2">
        <v>43542</v>
      </c>
      <c r="J88" s="3">
        <v>0.69625</v>
      </c>
      <c r="K88" s="2">
        <v>43544</v>
      </c>
      <c r="L88" s="1" t="s">
        <v>6</v>
      </c>
      <c r="M88" s="1"/>
      <c r="N88" s="1" t="s">
        <v>366</v>
      </c>
      <c r="O88" s="1" t="s">
        <v>367</v>
      </c>
      <c r="P88" s="1" t="s">
        <v>368</v>
      </c>
      <c r="Q88" s="1" t="s">
        <v>4</v>
      </c>
      <c r="R88" s="1" t="s">
        <v>4</v>
      </c>
      <c r="S88" s="1" t="s">
        <v>10</v>
      </c>
      <c r="T88" s="1"/>
      <c r="U88" s="1"/>
      <c r="V88" s="1"/>
      <c r="W88" s="1" t="s">
        <v>11</v>
      </c>
      <c r="X88" s="1" t="s">
        <v>633</v>
      </c>
      <c r="Y88" s="1" t="s">
        <v>633</v>
      </c>
      <c r="Z88" s="1" t="s">
        <v>634</v>
      </c>
      <c r="AA88" s="1" t="s">
        <v>635</v>
      </c>
      <c r="AB88" s="1" t="s">
        <v>636</v>
      </c>
      <c r="AC88" s="1" t="s">
        <v>637</v>
      </c>
      <c r="AD88" s="1" t="s">
        <v>17</v>
      </c>
      <c r="AE88" s="1" t="s">
        <v>18</v>
      </c>
      <c r="AF88" s="1" t="s">
        <v>19</v>
      </c>
      <c r="AG88" s="1" t="s">
        <v>19</v>
      </c>
      <c r="AH88" s="1" t="s">
        <v>636</v>
      </c>
    </row>
    <row r="89" spans="2:34" ht="15">
      <c r="B89" s="4" t="s">
        <v>153</v>
      </c>
      <c r="C89" s="5">
        <v>43543</v>
      </c>
      <c r="D89" s="4" t="s">
        <v>154</v>
      </c>
      <c r="E89" s="4" t="s">
        <v>638</v>
      </c>
      <c r="F89" s="4" t="s">
        <v>3</v>
      </c>
      <c r="G89" s="4" t="s">
        <v>4</v>
      </c>
      <c r="H89" s="4" t="s">
        <v>632</v>
      </c>
      <c r="I89" s="5">
        <v>43542</v>
      </c>
      <c r="J89" s="6">
        <v>0.69625</v>
      </c>
      <c r="K89" s="5">
        <v>43544</v>
      </c>
      <c r="L89" s="4" t="s">
        <v>6</v>
      </c>
      <c r="M89" s="4"/>
      <c r="N89" s="4" t="s">
        <v>366</v>
      </c>
      <c r="O89" s="4" t="s">
        <v>367</v>
      </c>
      <c r="P89" s="4" t="s">
        <v>368</v>
      </c>
      <c r="Q89" s="4" t="s">
        <v>4</v>
      </c>
      <c r="R89" s="4" t="s">
        <v>4</v>
      </c>
      <c r="S89" s="4" t="s">
        <v>10</v>
      </c>
      <c r="T89" s="4"/>
      <c r="U89" s="4"/>
      <c r="V89" s="4"/>
      <c r="W89" s="4" t="s">
        <v>11</v>
      </c>
      <c r="X89" s="4" t="s">
        <v>369</v>
      </c>
      <c r="Y89" s="4" t="s">
        <v>369</v>
      </c>
      <c r="Z89" s="4" t="s">
        <v>634</v>
      </c>
      <c r="AA89" s="4" t="s">
        <v>639</v>
      </c>
      <c r="AB89" s="4" t="s">
        <v>640</v>
      </c>
      <c r="AC89" s="4" t="s">
        <v>641</v>
      </c>
      <c r="AD89" s="4" t="s">
        <v>17</v>
      </c>
      <c r="AE89" s="4" t="s">
        <v>18</v>
      </c>
      <c r="AF89" s="4" t="s">
        <v>19</v>
      </c>
      <c r="AG89" s="4" t="s">
        <v>19</v>
      </c>
      <c r="AH89" s="4" t="s">
        <v>640</v>
      </c>
    </row>
    <row r="90" spans="2:34" ht="15">
      <c r="B90" s="1" t="s">
        <v>20</v>
      </c>
      <c r="C90" s="2">
        <v>43544</v>
      </c>
      <c r="D90" s="1" t="s">
        <v>21</v>
      </c>
      <c r="E90" s="1" t="s">
        <v>642</v>
      </c>
      <c r="F90" s="1" t="s">
        <v>3</v>
      </c>
      <c r="G90" s="1" t="s">
        <v>4</v>
      </c>
      <c r="H90" s="1" t="s">
        <v>183</v>
      </c>
      <c r="I90" s="2">
        <v>43543</v>
      </c>
      <c r="J90" s="3">
        <v>0.6296412037037037</v>
      </c>
      <c r="K90" s="2">
        <v>43545</v>
      </c>
      <c r="L90" s="1" t="s">
        <v>6</v>
      </c>
      <c r="M90" s="1"/>
      <c r="N90" s="1" t="s">
        <v>538</v>
      </c>
      <c r="O90" s="1" t="s">
        <v>539</v>
      </c>
      <c r="P90" s="1" t="s">
        <v>540</v>
      </c>
      <c r="Q90" s="1" t="s">
        <v>4</v>
      </c>
      <c r="R90" s="1" t="s">
        <v>4</v>
      </c>
      <c r="S90" s="1" t="s">
        <v>10</v>
      </c>
      <c r="T90" s="1"/>
      <c r="U90" s="1"/>
      <c r="V90" s="1"/>
      <c r="W90" s="1" t="s">
        <v>11</v>
      </c>
      <c r="X90" s="1" t="s">
        <v>643</v>
      </c>
      <c r="Y90" s="1" t="s">
        <v>643</v>
      </c>
      <c r="Z90" s="1" t="s">
        <v>542</v>
      </c>
      <c r="AA90" s="1" t="s">
        <v>644</v>
      </c>
      <c r="AB90" s="1" t="s">
        <v>645</v>
      </c>
      <c r="AC90" s="1" t="s">
        <v>646</v>
      </c>
      <c r="AD90" s="1" t="s">
        <v>17</v>
      </c>
      <c r="AE90" s="1" t="s">
        <v>18</v>
      </c>
      <c r="AF90" s="1" t="s">
        <v>19</v>
      </c>
      <c r="AG90" s="1" t="s">
        <v>19</v>
      </c>
      <c r="AH90" s="1" t="s">
        <v>645</v>
      </c>
    </row>
    <row r="91" spans="2:34" ht="15">
      <c r="B91" s="4" t="s">
        <v>0</v>
      </c>
      <c r="C91" s="5">
        <v>43544</v>
      </c>
      <c r="D91" s="4" t="s">
        <v>1</v>
      </c>
      <c r="E91" s="4" t="s">
        <v>647</v>
      </c>
      <c r="F91" s="4" t="s">
        <v>3</v>
      </c>
      <c r="G91" s="4" t="s">
        <v>4</v>
      </c>
      <c r="H91" s="4" t="s">
        <v>23</v>
      </c>
      <c r="I91" s="5">
        <v>43543</v>
      </c>
      <c r="J91" s="6">
        <v>0.529375</v>
      </c>
      <c r="K91" s="5">
        <v>43545</v>
      </c>
      <c r="L91" s="4" t="s">
        <v>6</v>
      </c>
      <c r="M91" s="4"/>
      <c r="N91" s="4" t="s">
        <v>24</v>
      </c>
      <c r="O91" s="4" t="s">
        <v>25</v>
      </c>
      <c r="P91" s="4" t="s">
        <v>648</v>
      </c>
      <c r="Q91" s="4" t="s">
        <v>4</v>
      </c>
      <c r="R91" s="4" t="s">
        <v>4</v>
      </c>
      <c r="S91" s="4" t="s">
        <v>10</v>
      </c>
      <c r="T91" s="4"/>
      <c r="U91" s="4"/>
      <c r="V91" s="4"/>
      <c r="W91" s="4" t="s">
        <v>27</v>
      </c>
      <c r="X91" s="4" t="s">
        <v>649</v>
      </c>
      <c r="Y91" s="4" t="s">
        <v>649</v>
      </c>
      <c r="Z91" s="4" t="s">
        <v>650</v>
      </c>
      <c r="AA91" s="4" t="s">
        <v>651</v>
      </c>
      <c r="AB91" s="4" t="s">
        <v>652</v>
      </c>
      <c r="AC91" s="4" t="s">
        <v>653</v>
      </c>
      <c r="AD91" s="4" t="s">
        <v>17</v>
      </c>
      <c r="AE91" s="4" t="s">
        <v>18</v>
      </c>
      <c r="AF91" s="4" t="s">
        <v>19</v>
      </c>
      <c r="AG91" s="4" t="s">
        <v>19</v>
      </c>
      <c r="AH91" s="4" t="s">
        <v>652</v>
      </c>
    </row>
    <row r="92" spans="2:34" ht="15">
      <c r="B92" s="1" t="s">
        <v>0</v>
      </c>
      <c r="C92" s="2">
        <v>43544</v>
      </c>
      <c r="D92" s="1" t="s">
        <v>1</v>
      </c>
      <c r="E92" s="1" t="s">
        <v>654</v>
      </c>
      <c r="F92" s="1" t="s">
        <v>3</v>
      </c>
      <c r="G92" s="1" t="s">
        <v>4</v>
      </c>
      <c r="H92" s="1" t="s">
        <v>325</v>
      </c>
      <c r="I92" s="2">
        <v>43543</v>
      </c>
      <c r="J92" s="3">
        <v>0.6395833333333333</v>
      </c>
      <c r="K92" s="2">
        <v>43545</v>
      </c>
      <c r="L92" s="1" t="s">
        <v>6</v>
      </c>
      <c r="M92" s="1"/>
      <c r="N92" s="1" t="s">
        <v>596</v>
      </c>
      <c r="O92" s="1" t="s">
        <v>597</v>
      </c>
      <c r="P92" s="1" t="s">
        <v>598</v>
      </c>
      <c r="Q92" s="1" t="s">
        <v>4</v>
      </c>
      <c r="R92" s="1" t="s">
        <v>4</v>
      </c>
      <c r="S92" s="1" t="s">
        <v>10</v>
      </c>
      <c r="T92" s="1"/>
      <c r="U92" s="1"/>
      <c r="V92" s="1"/>
      <c r="W92" s="1" t="s">
        <v>27</v>
      </c>
      <c r="X92" s="1" t="s">
        <v>655</v>
      </c>
      <c r="Y92" s="1" t="s">
        <v>655</v>
      </c>
      <c r="Z92" s="1" t="s">
        <v>656</v>
      </c>
      <c r="AA92" s="1" t="s">
        <v>657</v>
      </c>
      <c r="AB92" s="1" t="s">
        <v>658</v>
      </c>
      <c r="AC92" s="1" t="s">
        <v>659</v>
      </c>
      <c r="AD92" s="1" t="s">
        <v>17</v>
      </c>
      <c r="AE92" s="1" t="s">
        <v>18</v>
      </c>
      <c r="AF92" s="1" t="s">
        <v>19</v>
      </c>
      <c r="AG92" s="1" t="s">
        <v>19</v>
      </c>
      <c r="AH92" s="1" t="s">
        <v>658</v>
      </c>
    </row>
    <row r="93" spans="2:34" ht="15">
      <c r="B93" s="4" t="s">
        <v>20</v>
      </c>
      <c r="C93" s="5">
        <v>43545</v>
      </c>
      <c r="D93" s="4" t="s">
        <v>21</v>
      </c>
      <c r="E93" s="4" t="s">
        <v>620</v>
      </c>
      <c r="F93" s="4" t="s">
        <v>3</v>
      </c>
      <c r="G93" s="4" t="s">
        <v>85</v>
      </c>
      <c r="H93" s="4" t="s">
        <v>23</v>
      </c>
      <c r="I93" s="5">
        <v>43542</v>
      </c>
      <c r="J93" s="6">
        <v>0.3333333333333333</v>
      </c>
      <c r="K93" s="5">
        <v>43545</v>
      </c>
      <c r="L93" s="4" t="s">
        <v>6</v>
      </c>
      <c r="M93" s="4"/>
      <c r="N93" s="4"/>
      <c r="O93" s="4" t="s">
        <v>621</v>
      </c>
      <c r="P93" s="4" t="s">
        <v>622</v>
      </c>
      <c r="Q93" s="4" t="s">
        <v>4</v>
      </c>
      <c r="R93" s="4" t="s">
        <v>85</v>
      </c>
      <c r="S93" s="4" t="s">
        <v>85</v>
      </c>
      <c r="T93" s="4"/>
      <c r="U93" s="4"/>
      <c r="V93" s="4"/>
      <c r="W93" s="4" t="s">
        <v>27</v>
      </c>
      <c r="X93" s="4" t="s">
        <v>623</v>
      </c>
      <c r="Y93" s="4" t="s">
        <v>623</v>
      </c>
      <c r="Z93" s="4" t="s">
        <v>624</v>
      </c>
      <c r="AA93" s="4" t="s">
        <v>625</v>
      </c>
      <c r="AB93" s="4" t="s">
        <v>625</v>
      </c>
      <c r="AC93" s="4" t="s">
        <v>17</v>
      </c>
      <c r="AD93" s="4" t="s">
        <v>17</v>
      </c>
      <c r="AE93" s="4" t="s">
        <v>17</v>
      </c>
      <c r="AF93" s="4" t="s">
        <v>19</v>
      </c>
      <c r="AG93" s="4" t="s">
        <v>19</v>
      </c>
      <c r="AH93" s="4" t="s">
        <v>625</v>
      </c>
    </row>
    <row r="94" spans="2:34" ht="15">
      <c r="B94" s="1" t="s">
        <v>20</v>
      </c>
      <c r="C94" s="2">
        <v>43545</v>
      </c>
      <c r="D94" s="1" t="s">
        <v>21</v>
      </c>
      <c r="E94" s="1" t="s">
        <v>660</v>
      </c>
      <c r="F94" s="1" t="s">
        <v>3</v>
      </c>
      <c r="G94" s="1" t="s">
        <v>4</v>
      </c>
      <c r="H94" s="1" t="s">
        <v>23</v>
      </c>
      <c r="I94" s="2">
        <v>43542</v>
      </c>
      <c r="J94" s="3">
        <v>0.3333333333333333</v>
      </c>
      <c r="K94" s="2">
        <v>43545</v>
      </c>
      <c r="L94" s="1" t="s">
        <v>6</v>
      </c>
      <c r="M94" s="1"/>
      <c r="N94" s="1" t="s">
        <v>661</v>
      </c>
      <c r="O94" s="1" t="s">
        <v>621</v>
      </c>
      <c r="P94" s="1" t="s">
        <v>622</v>
      </c>
      <c r="Q94" s="1" t="s">
        <v>4</v>
      </c>
      <c r="R94" s="1" t="s">
        <v>85</v>
      </c>
      <c r="S94" s="1" t="s">
        <v>4</v>
      </c>
      <c r="T94" s="1"/>
      <c r="U94" s="1"/>
      <c r="V94" s="1"/>
      <c r="W94" s="1" t="s">
        <v>27</v>
      </c>
      <c r="X94" s="1" t="s">
        <v>623</v>
      </c>
      <c r="Y94" s="1" t="s">
        <v>623</v>
      </c>
      <c r="Z94" s="1" t="s">
        <v>624</v>
      </c>
      <c r="AA94" s="1" t="s">
        <v>625</v>
      </c>
      <c r="AB94" s="1" t="s">
        <v>625</v>
      </c>
      <c r="AC94" s="1" t="s">
        <v>17</v>
      </c>
      <c r="AD94" s="1" t="s">
        <v>17</v>
      </c>
      <c r="AE94" s="1" t="s">
        <v>17</v>
      </c>
      <c r="AF94" s="1" t="s">
        <v>19</v>
      </c>
      <c r="AG94" s="1" t="s">
        <v>19</v>
      </c>
      <c r="AH94" s="1" t="s">
        <v>625</v>
      </c>
    </row>
    <row r="95" spans="2:34" ht="15">
      <c r="B95" s="4" t="s">
        <v>0</v>
      </c>
      <c r="C95" s="5">
        <v>43545</v>
      </c>
      <c r="D95" s="4" t="s">
        <v>1</v>
      </c>
      <c r="E95" s="4" t="s">
        <v>662</v>
      </c>
      <c r="F95" s="4" t="s">
        <v>3</v>
      </c>
      <c r="G95" s="4" t="s">
        <v>4</v>
      </c>
      <c r="H95" s="4" t="s">
        <v>119</v>
      </c>
      <c r="I95" s="5">
        <v>43544</v>
      </c>
      <c r="J95" s="6">
        <v>0.48856481481481484</v>
      </c>
      <c r="K95" s="5">
        <v>43546</v>
      </c>
      <c r="L95" s="4" t="s">
        <v>6</v>
      </c>
      <c r="M95" s="4"/>
      <c r="N95" s="4" t="s">
        <v>663</v>
      </c>
      <c r="O95" s="4" t="s">
        <v>664</v>
      </c>
      <c r="P95" s="4" t="s">
        <v>665</v>
      </c>
      <c r="Q95" s="4" t="s">
        <v>4</v>
      </c>
      <c r="R95" s="4" t="s">
        <v>4</v>
      </c>
      <c r="S95" s="4" t="s">
        <v>10</v>
      </c>
      <c r="T95" s="4"/>
      <c r="U95" s="4"/>
      <c r="V95" s="4"/>
      <c r="W95" s="4" t="s">
        <v>27</v>
      </c>
      <c r="X95" s="4" t="s">
        <v>666</v>
      </c>
      <c r="Y95" s="4" t="s">
        <v>666</v>
      </c>
      <c r="Z95" s="4" t="s">
        <v>667</v>
      </c>
      <c r="AA95" s="4" t="s">
        <v>668</v>
      </c>
      <c r="AB95" s="4" t="s">
        <v>669</v>
      </c>
      <c r="AC95" s="4" t="s">
        <v>670</v>
      </c>
      <c r="AD95" s="4" t="s">
        <v>17</v>
      </c>
      <c r="AE95" s="4" t="s">
        <v>671</v>
      </c>
      <c r="AF95" s="4" t="s">
        <v>19</v>
      </c>
      <c r="AG95" s="4" t="s">
        <v>19</v>
      </c>
      <c r="AH95" s="4" t="s">
        <v>669</v>
      </c>
    </row>
    <row r="96" spans="2:34" ht="15">
      <c r="B96" s="1" t="s">
        <v>0</v>
      </c>
      <c r="C96" s="2">
        <v>43545</v>
      </c>
      <c r="D96" s="1" t="s">
        <v>1</v>
      </c>
      <c r="E96" s="1" t="s">
        <v>672</v>
      </c>
      <c r="F96" s="1" t="s">
        <v>3</v>
      </c>
      <c r="G96" s="1" t="s">
        <v>4</v>
      </c>
      <c r="H96" s="1" t="s">
        <v>119</v>
      </c>
      <c r="I96" s="2">
        <v>43544</v>
      </c>
      <c r="J96" s="3">
        <v>0.6916203703703704</v>
      </c>
      <c r="K96" s="2">
        <v>43546</v>
      </c>
      <c r="L96" s="1" t="s">
        <v>6</v>
      </c>
      <c r="M96" s="1"/>
      <c r="N96" s="1" t="s">
        <v>663</v>
      </c>
      <c r="O96" s="1" t="s">
        <v>664</v>
      </c>
      <c r="P96" s="1" t="s">
        <v>665</v>
      </c>
      <c r="Q96" s="1" t="s">
        <v>4</v>
      </c>
      <c r="R96" s="1" t="s">
        <v>4</v>
      </c>
      <c r="S96" s="1" t="s">
        <v>10</v>
      </c>
      <c r="T96" s="1"/>
      <c r="U96" s="1"/>
      <c r="V96" s="1"/>
      <c r="W96" s="1" t="s">
        <v>27</v>
      </c>
      <c r="X96" s="1" t="s">
        <v>113</v>
      </c>
      <c r="Y96" s="1" t="s">
        <v>113</v>
      </c>
      <c r="Z96" s="1" t="s">
        <v>673</v>
      </c>
      <c r="AA96" s="1" t="s">
        <v>674</v>
      </c>
      <c r="AB96" s="1" t="s">
        <v>675</v>
      </c>
      <c r="AC96" s="1" t="s">
        <v>676</v>
      </c>
      <c r="AD96" s="1" t="s">
        <v>17</v>
      </c>
      <c r="AE96" s="1" t="s">
        <v>677</v>
      </c>
      <c r="AF96" s="1" t="s">
        <v>19</v>
      </c>
      <c r="AG96" s="1" t="s">
        <v>19</v>
      </c>
      <c r="AH96" s="1" t="s">
        <v>675</v>
      </c>
    </row>
    <row r="97" spans="2:34" ht="15">
      <c r="B97" s="4" t="s">
        <v>153</v>
      </c>
      <c r="C97" s="5">
        <v>43545</v>
      </c>
      <c r="D97" s="4" t="s">
        <v>154</v>
      </c>
      <c r="E97" s="4" t="s">
        <v>678</v>
      </c>
      <c r="F97" s="4" t="s">
        <v>3</v>
      </c>
      <c r="G97" s="4" t="s">
        <v>4</v>
      </c>
      <c r="H97" s="4" t="s">
        <v>23</v>
      </c>
      <c r="I97" s="5">
        <v>43544</v>
      </c>
      <c r="J97" s="6">
        <v>0.49416666666666664</v>
      </c>
      <c r="K97" s="5">
        <v>43546</v>
      </c>
      <c r="L97" s="4" t="s">
        <v>6</v>
      </c>
      <c r="M97" s="4"/>
      <c r="N97" s="4" t="s">
        <v>459</v>
      </c>
      <c r="O97" s="4" t="s">
        <v>460</v>
      </c>
      <c r="P97" s="4" t="s">
        <v>461</v>
      </c>
      <c r="Q97" s="4" t="s">
        <v>4</v>
      </c>
      <c r="R97" s="4" t="s">
        <v>4</v>
      </c>
      <c r="S97" s="4" t="s">
        <v>10</v>
      </c>
      <c r="T97" s="4"/>
      <c r="U97" s="4"/>
      <c r="V97" s="4"/>
      <c r="W97" s="4" t="s">
        <v>27</v>
      </c>
      <c r="X97" s="4" t="s">
        <v>679</v>
      </c>
      <c r="Y97" s="4" t="s">
        <v>679</v>
      </c>
      <c r="Z97" s="4" t="s">
        <v>680</v>
      </c>
      <c r="AA97" s="4" t="s">
        <v>681</v>
      </c>
      <c r="AB97" s="4" t="s">
        <v>682</v>
      </c>
      <c r="AC97" s="4" t="s">
        <v>683</v>
      </c>
      <c r="AD97" s="4" t="s">
        <v>17</v>
      </c>
      <c r="AE97" s="4" t="s">
        <v>17</v>
      </c>
      <c r="AF97" s="4" t="s">
        <v>19</v>
      </c>
      <c r="AG97" s="4" t="s">
        <v>19</v>
      </c>
      <c r="AH97" s="4" t="s">
        <v>682</v>
      </c>
    </row>
    <row r="98" spans="2:34" ht="15">
      <c r="B98" s="1" t="s">
        <v>153</v>
      </c>
      <c r="C98" s="2">
        <v>43545</v>
      </c>
      <c r="D98" s="1" t="s">
        <v>154</v>
      </c>
      <c r="E98" s="1" t="s">
        <v>684</v>
      </c>
      <c r="F98" s="1" t="s">
        <v>3</v>
      </c>
      <c r="G98" s="1" t="s">
        <v>4</v>
      </c>
      <c r="H98" s="1" t="s">
        <v>109</v>
      </c>
      <c r="I98" s="2">
        <v>43544</v>
      </c>
      <c r="J98" s="3">
        <v>0.5152777777777777</v>
      </c>
      <c r="K98" s="2">
        <v>43546</v>
      </c>
      <c r="L98" s="1" t="s">
        <v>6</v>
      </c>
      <c r="M98" s="1"/>
      <c r="N98" s="1" t="s">
        <v>194</v>
      </c>
      <c r="O98" s="1" t="s">
        <v>195</v>
      </c>
      <c r="P98" s="1" t="s">
        <v>196</v>
      </c>
      <c r="Q98" s="1" t="s">
        <v>4</v>
      </c>
      <c r="R98" s="1" t="s">
        <v>4</v>
      </c>
      <c r="S98" s="1" t="s">
        <v>10</v>
      </c>
      <c r="T98" s="1"/>
      <c r="U98" s="1"/>
      <c r="V98" s="1"/>
      <c r="W98" s="1" t="s">
        <v>27</v>
      </c>
      <c r="X98" s="1" t="s">
        <v>685</v>
      </c>
      <c r="Y98" s="1" t="s">
        <v>685</v>
      </c>
      <c r="Z98" s="1" t="s">
        <v>686</v>
      </c>
      <c r="AA98" s="1" t="s">
        <v>687</v>
      </c>
      <c r="AB98" s="1" t="s">
        <v>688</v>
      </c>
      <c r="AC98" s="1" t="s">
        <v>689</v>
      </c>
      <c r="AD98" s="1" t="s">
        <v>17</v>
      </c>
      <c r="AE98" s="1" t="s">
        <v>690</v>
      </c>
      <c r="AF98" s="1" t="s">
        <v>19</v>
      </c>
      <c r="AG98" s="1" t="s">
        <v>19</v>
      </c>
      <c r="AH98" s="1" t="s">
        <v>688</v>
      </c>
    </row>
    <row r="99" spans="2:34" ht="15">
      <c r="B99" s="4" t="s">
        <v>153</v>
      </c>
      <c r="C99" s="5">
        <v>43545</v>
      </c>
      <c r="D99" s="4" t="s">
        <v>154</v>
      </c>
      <c r="E99" s="4" t="s">
        <v>691</v>
      </c>
      <c r="F99" s="4" t="s">
        <v>3</v>
      </c>
      <c r="G99" s="4" t="s">
        <v>4</v>
      </c>
      <c r="H99" s="4" t="s">
        <v>109</v>
      </c>
      <c r="I99" s="5">
        <v>43544</v>
      </c>
      <c r="J99" s="6">
        <v>0.5097222222222222</v>
      </c>
      <c r="K99" s="5">
        <v>43546</v>
      </c>
      <c r="L99" s="4" t="s">
        <v>6</v>
      </c>
      <c r="M99" s="4"/>
      <c r="N99" s="4" t="s">
        <v>232</v>
      </c>
      <c r="O99" s="4" t="s">
        <v>233</v>
      </c>
      <c r="P99" s="4" t="s">
        <v>234</v>
      </c>
      <c r="Q99" s="4" t="s">
        <v>4</v>
      </c>
      <c r="R99" s="4" t="s">
        <v>4</v>
      </c>
      <c r="S99" s="4" t="s">
        <v>10</v>
      </c>
      <c r="T99" s="4"/>
      <c r="U99" s="4"/>
      <c r="V99" s="4"/>
      <c r="W99" s="4" t="s">
        <v>27</v>
      </c>
      <c r="X99" s="4" t="s">
        <v>692</v>
      </c>
      <c r="Y99" s="4" t="s">
        <v>692</v>
      </c>
      <c r="Z99" s="4" t="s">
        <v>693</v>
      </c>
      <c r="AA99" s="4" t="s">
        <v>694</v>
      </c>
      <c r="AB99" s="4" t="s">
        <v>695</v>
      </c>
      <c r="AC99" s="4" t="s">
        <v>696</v>
      </c>
      <c r="AD99" s="4" t="s">
        <v>17</v>
      </c>
      <c r="AE99" s="4" t="s">
        <v>17</v>
      </c>
      <c r="AF99" s="4" t="s">
        <v>19</v>
      </c>
      <c r="AG99" s="4" t="s">
        <v>19</v>
      </c>
      <c r="AH99" s="4" t="s">
        <v>695</v>
      </c>
    </row>
    <row r="100" spans="2:34" ht="15">
      <c r="B100" s="1" t="s">
        <v>153</v>
      </c>
      <c r="C100" s="2">
        <v>43545</v>
      </c>
      <c r="D100" s="1" t="s">
        <v>154</v>
      </c>
      <c r="E100" s="1" t="s">
        <v>697</v>
      </c>
      <c r="F100" s="1" t="s">
        <v>3</v>
      </c>
      <c r="G100" s="1" t="s">
        <v>4</v>
      </c>
      <c r="H100" s="1" t="s">
        <v>90</v>
      </c>
      <c r="I100" s="2">
        <v>43544</v>
      </c>
      <c r="J100" s="3">
        <v>0.5604629629629629</v>
      </c>
      <c r="K100" s="2">
        <v>43546</v>
      </c>
      <c r="L100" s="1" t="s">
        <v>6</v>
      </c>
      <c r="M100" s="1"/>
      <c r="N100" s="1" t="s">
        <v>391</v>
      </c>
      <c r="O100" s="1" t="s">
        <v>392</v>
      </c>
      <c r="P100" s="1" t="s">
        <v>698</v>
      </c>
      <c r="Q100" s="1" t="s">
        <v>4</v>
      </c>
      <c r="R100" s="1" t="s">
        <v>4</v>
      </c>
      <c r="S100" s="1" t="s">
        <v>10</v>
      </c>
      <c r="T100" s="1"/>
      <c r="U100" s="1"/>
      <c r="V100" s="1"/>
      <c r="W100" s="1" t="s">
        <v>27</v>
      </c>
      <c r="X100" s="1" t="s">
        <v>699</v>
      </c>
      <c r="Y100" s="1" t="s">
        <v>699</v>
      </c>
      <c r="Z100" s="1" t="s">
        <v>700</v>
      </c>
      <c r="AA100" s="1" t="s">
        <v>701</v>
      </c>
      <c r="AB100" s="1" t="s">
        <v>702</v>
      </c>
      <c r="AC100" s="1" t="s">
        <v>703</v>
      </c>
      <c r="AD100" s="1" t="s">
        <v>17</v>
      </c>
      <c r="AE100" s="1" t="s">
        <v>704</v>
      </c>
      <c r="AF100" s="1" t="s">
        <v>19</v>
      </c>
      <c r="AG100" s="1" t="s">
        <v>19</v>
      </c>
      <c r="AH100" s="1" t="s">
        <v>702</v>
      </c>
    </row>
    <row r="101" spans="2:34" ht="15">
      <c r="B101" s="4" t="s">
        <v>153</v>
      </c>
      <c r="C101" s="5">
        <v>43545</v>
      </c>
      <c r="D101" s="4" t="s">
        <v>154</v>
      </c>
      <c r="E101" s="4" t="s">
        <v>705</v>
      </c>
      <c r="F101" s="4" t="s">
        <v>3</v>
      </c>
      <c r="G101" s="4" t="s">
        <v>4</v>
      </c>
      <c r="H101" s="4" t="s">
        <v>90</v>
      </c>
      <c r="I101" s="5">
        <v>43544</v>
      </c>
      <c r="J101" s="6">
        <v>0.5605439814814814</v>
      </c>
      <c r="K101" s="5">
        <v>43546</v>
      </c>
      <c r="L101" s="4" t="s">
        <v>6</v>
      </c>
      <c r="M101" s="4"/>
      <c r="N101" s="4" t="s">
        <v>260</v>
      </c>
      <c r="O101" s="4" t="s">
        <v>261</v>
      </c>
      <c r="P101" s="4" t="s">
        <v>262</v>
      </c>
      <c r="Q101" s="4" t="s">
        <v>4</v>
      </c>
      <c r="R101" s="4" t="s">
        <v>4</v>
      </c>
      <c r="S101" s="4" t="s">
        <v>10</v>
      </c>
      <c r="T101" s="4"/>
      <c r="U101" s="4"/>
      <c r="V101" s="4"/>
      <c r="W101" s="4" t="s">
        <v>27</v>
      </c>
      <c r="X101" s="4" t="s">
        <v>706</v>
      </c>
      <c r="Y101" s="4" t="s">
        <v>706</v>
      </c>
      <c r="Z101" s="4" t="s">
        <v>707</v>
      </c>
      <c r="AA101" s="4" t="s">
        <v>708</v>
      </c>
      <c r="AB101" s="4" t="s">
        <v>709</v>
      </c>
      <c r="AC101" s="4" t="s">
        <v>710</v>
      </c>
      <c r="AD101" s="4" t="s">
        <v>17</v>
      </c>
      <c r="AE101" s="4" t="s">
        <v>17</v>
      </c>
      <c r="AF101" s="4" t="s">
        <v>19</v>
      </c>
      <c r="AG101" s="4" t="s">
        <v>19</v>
      </c>
      <c r="AH101" s="4" t="s">
        <v>709</v>
      </c>
    </row>
    <row r="102" spans="2:34" ht="15">
      <c r="B102" s="1" t="s">
        <v>153</v>
      </c>
      <c r="C102" s="2">
        <v>43545</v>
      </c>
      <c r="D102" s="1" t="s">
        <v>154</v>
      </c>
      <c r="E102" s="1" t="s">
        <v>711</v>
      </c>
      <c r="F102" s="1" t="s">
        <v>3</v>
      </c>
      <c r="G102" s="1" t="s">
        <v>4</v>
      </c>
      <c r="H102" s="1" t="s">
        <v>90</v>
      </c>
      <c r="I102" s="2">
        <v>43544</v>
      </c>
      <c r="J102" s="3">
        <v>0.5604166666666667</v>
      </c>
      <c r="K102" s="2">
        <v>43546</v>
      </c>
      <c r="L102" s="1" t="s">
        <v>6</v>
      </c>
      <c r="M102" s="1"/>
      <c r="N102" s="1" t="s">
        <v>712</v>
      </c>
      <c r="O102" s="1" t="s">
        <v>428</v>
      </c>
      <c r="P102" s="1" t="s">
        <v>713</v>
      </c>
      <c r="Q102" s="1" t="s">
        <v>4</v>
      </c>
      <c r="R102" s="1" t="s">
        <v>4</v>
      </c>
      <c r="S102" s="1" t="s">
        <v>10</v>
      </c>
      <c r="T102" s="1"/>
      <c r="U102" s="1"/>
      <c r="V102" s="1"/>
      <c r="W102" s="1" t="s">
        <v>27</v>
      </c>
      <c r="X102" s="1" t="s">
        <v>714</v>
      </c>
      <c r="Y102" s="1" t="s">
        <v>714</v>
      </c>
      <c r="Z102" s="1" t="s">
        <v>715</v>
      </c>
      <c r="AA102" s="1" t="s">
        <v>716</v>
      </c>
      <c r="AB102" s="1" t="s">
        <v>717</v>
      </c>
      <c r="AC102" s="1" t="s">
        <v>718</v>
      </c>
      <c r="AD102" s="1" t="s">
        <v>17</v>
      </c>
      <c r="AE102" s="1" t="s">
        <v>17</v>
      </c>
      <c r="AF102" s="1" t="s">
        <v>19</v>
      </c>
      <c r="AG102" s="1" t="s">
        <v>19</v>
      </c>
      <c r="AH102" s="1" t="s">
        <v>717</v>
      </c>
    </row>
    <row r="103" spans="2:34" ht="15">
      <c r="B103" s="4" t="s">
        <v>153</v>
      </c>
      <c r="C103" s="5">
        <v>43545</v>
      </c>
      <c r="D103" s="4" t="s">
        <v>154</v>
      </c>
      <c r="E103" s="4" t="s">
        <v>719</v>
      </c>
      <c r="F103" s="4" t="s">
        <v>3</v>
      </c>
      <c r="G103" s="4" t="s">
        <v>4</v>
      </c>
      <c r="H103" s="4" t="s">
        <v>90</v>
      </c>
      <c r="I103" s="5">
        <v>43544</v>
      </c>
      <c r="J103" s="6">
        <v>0.5604976851851852</v>
      </c>
      <c r="K103" s="5">
        <v>43546</v>
      </c>
      <c r="L103" s="4" t="s">
        <v>6</v>
      </c>
      <c r="M103" s="4"/>
      <c r="N103" s="4" t="s">
        <v>297</v>
      </c>
      <c r="O103" s="4" t="s">
        <v>298</v>
      </c>
      <c r="P103" s="4" t="s">
        <v>299</v>
      </c>
      <c r="Q103" s="4" t="s">
        <v>4</v>
      </c>
      <c r="R103" s="4" t="s">
        <v>4</v>
      </c>
      <c r="S103" s="4" t="s">
        <v>10</v>
      </c>
      <c r="T103" s="4"/>
      <c r="U103" s="4"/>
      <c r="V103" s="4"/>
      <c r="W103" s="4" t="s">
        <v>27</v>
      </c>
      <c r="X103" s="4" t="s">
        <v>720</v>
      </c>
      <c r="Y103" s="4" t="s">
        <v>720</v>
      </c>
      <c r="Z103" s="4" t="s">
        <v>721</v>
      </c>
      <c r="AA103" s="4" t="s">
        <v>722</v>
      </c>
      <c r="AB103" s="4" t="s">
        <v>723</v>
      </c>
      <c r="AC103" s="4" t="s">
        <v>724</v>
      </c>
      <c r="AD103" s="4" t="s">
        <v>17</v>
      </c>
      <c r="AE103" s="4" t="s">
        <v>725</v>
      </c>
      <c r="AF103" s="4" t="s">
        <v>19</v>
      </c>
      <c r="AG103" s="4" t="s">
        <v>19</v>
      </c>
      <c r="AH103" s="4" t="s">
        <v>723</v>
      </c>
    </row>
    <row r="104" spans="2:34" ht="15">
      <c r="B104" s="1" t="s">
        <v>153</v>
      </c>
      <c r="C104" s="2">
        <v>43545</v>
      </c>
      <c r="D104" s="1" t="s">
        <v>154</v>
      </c>
      <c r="E104" s="1" t="s">
        <v>726</v>
      </c>
      <c r="F104" s="1" t="s">
        <v>3</v>
      </c>
      <c r="G104" s="1" t="s">
        <v>4</v>
      </c>
      <c r="H104" s="1" t="s">
        <v>90</v>
      </c>
      <c r="I104" s="2">
        <v>43544</v>
      </c>
      <c r="J104" s="3">
        <v>0.5603935185185185</v>
      </c>
      <c r="K104" s="2">
        <v>43546</v>
      </c>
      <c r="L104" s="1" t="s">
        <v>6</v>
      </c>
      <c r="M104" s="1"/>
      <c r="N104" s="1" t="s">
        <v>316</v>
      </c>
      <c r="O104" s="1" t="s">
        <v>317</v>
      </c>
      <c r="P104" s="1" t="s">
        <v>318</v>
      </c>
      <c r="Q104" s="1" t="s">
        <v>4</v>
      </c>
      <c r="R104" s="1" t="s">
        <v>4</v>
      </c>
      <c r="S104" s="1" t="s">
        <v>10</v>
      </c>
      <c r="T104" s="1"/>
      <c r="U104" s="1"/>
      <c r="V104" s="1"/>
      <c r="W104" s="1" t="s">
        <v>27</v>
      </c>
      <c r="X104" s="1" t="s">
        <v>727</v>
      </c>
      <c r="Y104" s="1" t="s">
        <v>727</v>
      </c>
      <c r="Z104" s="1" t="s">
        <v>478</v>
      </c>
      <c r="AA104" s="1" t="s">
        <v>728</v>
      </c>
      <c r="AB104" s="1" t="s">
        <v>729</v>
      </c>
      <c r="AC104" s="1" t="s">
        <v>730</v>
      </c>
      <c r="AD104" s="1" t="s">
        <v>17</v>
      </c>
      <c r="AE104" s="1" t="s">
        <v>731</v>
      </c>
      <c r="AF104" s="1" t="s">
        <v>19</v>
      </c>
      <c r="AG104" s="1" t="s">
        <v>19</v>
      </c>
      <c r="AH104" s="1" t="s">
        <v>729</v>
      </c>
    </row>
    <row r="105" spans="2:34" ht="15">
      <c r="B105" s="4" t="s">
        <v>153</v>
      </c>
      <c r="C105" s="5">
        <v>43545</v>
      </c>
      <c r="D105" s="4" t="s">
        <v>154</v>
      </c>
      <c r="E105" s="4" t="s">
        <v>732</v>
      </c>
      <c r="F105" s="4" t="s">
        <v>3</v>
      </c>
      <c r="G105" s="4" t="s">
        <v>4</v>
      </c>
      <c r="H105" s="4" t="s">
        <v>119</v>
      </c>
      <c r="I105" s="5">
        <v>43544</v>
      </c>
      <c r="J105" s="6">
        <v>0.5407407407407407</v>
      </c>
      <c r="K105" s="5">
        <v>43546</v>
      </c>
      <c r="L105" s="4" t="s">
        <v>6</v>
      </c>
      <c r="M105" s="4"/>
      <c r="N105" s="4" t="s">
        <v>278</v>
      </c>
      <c r="O105" s="4" t="s">
        <v>279</v>
      </c>
      <c r="P105" s="4" t="s">
        <v>280</v>
      </c>
      <c r="Q105" s="4" t="s">
        <v>4</v>
      </c>
      <c r="R105" s="4" t="s">
        <v>4</v>
      </c>
      <c r="S105" s="4" t="s">
        <v>10</v>
      </c>
      <c r="T105" s="4"/>
      <c r="U105" s="4"/>
      <c r="V105" s="4"/>
      <c r="W105" s="4" t="s">
        <v>27</v>
      </c>
      <c r="X105" s="4" t="s">
        <v>714</v>
      </c>
      <c r="Y105" s="4" t="s">
        <v>714</v>
      </c>
      <c r="Z105" s="4" t="s">
        <v>733</v>
      </c>
      <c r="AA105" s="4" t="s">
        <v>734</v>
      </c>
      <c r="AB105" s="4" t="s">
        <v>735</v>
      </c>
      <c r="AC105" s="4" t="s">
        <v>736</v>
      </c>
      <c r="AD105" s="4" t="s">
        <v>17</v>
      </c>
      <c r="AE105" s="4" t="s">
        <v>737</v>
      </c>
      <c r="AF105" s="4" t="s">
        <v>19</v>
      </c>
      <c r="AG105" s="4" t="s">
        <v>19</v>
      </c>
      <c r="AH105" s="4" t="s">
        <v>735</v>
      </c>
    </row>
    <row r="106" spans="2:34" ht="15">
      <c r="B106" s="1" t="s">
        <v>153</v>
      </c>
      <c r="C106" s="2">
        <v>43545</v>
      </c>
      <c r="D106" s="1" t="s">
        <v>154</v>
      </c>
      <c r="E106" s="1" t="s">
        <v>738</v>
      </c>
      <c r="F106" s="1" t="s">
        <v>3</v>
      </c>
      <c r="G106" s="1" t="s">
        <v>4</v>
      </c>
      <c r="H106" s="1" t="s">
        <v>119</v>
      </c>
      <c r="I106" s="2">
        <v>43544</v>
      </c>
      <c r="J106" s="3">
        <v>0.6884490740740741</v>
      </c>
      <c r="K106" s="2">
        <v>43546</v>
      </c>
      <c r="L106" s="1" t="s">
        <v>6</v>
      </c>
      <c r="M106" s="1"/>
      <c r="N106" s="1" t="s">
        <v>467</v>
      </c>
      <c r="O106" s="1" t="s">
        <v>468</v>
      </c>
      <c r="P106" s="1" t="s">
        <v>469</v>
      </c>
      <c r="Q106" s="1" t="s">
        <v>4</v>
      </c>
      <c r="R106" s="1" t="s">
        <v>4</v>
      </c>
      <c r="S106" s="1" t="s">
        <v>10</v>
      </c>
      <c r="T106" s="1"/>
      <c r="U106" s="1"/>
      <c r="V106" s="1"/>
      <c r="W106" s="1" t="s">
        <v>27</v>
      </c>
      <c r="X106" s="1" t="s">
        <v>739</v>
      </c>
      <c r="Y106" s="1" t="s">
        <v>739</v>
      </c>
      <c r="Z106" s="1" t="s">
        <v>740</v>
      </c>
      <c r="AA106" s="1" t="s">
        <v>741</v>
      </c>
      <c r="AB106" s="1" t="s">
        <v>742</v>
      </c>
      <c r="AC106" s="1" t="s">
        <v>743</v>
      </c>
      <c r="AD106" s="1" t="s">
        <v>17</v>
      </c>
      <c r="AE106" s="1" t="s">
        <v>17</v>
      </c>
      <c r="AF106" s="1" t="s">
        <v>19</v>
      </c>
      <c r="AG106" s="1" t="s">
        <v>19</v>
      </c>
      <c r="AH106" s="1" t="s">
        <v>742</v>
      </c>
    </row>
    <row r="107" spans="2:34" ht="15">
      <c r="B107" s="4" t="s">
        <v>153</v>
      </c>
      <c r="C107" s="5">
        <v>43545</v>
      </c>
      <c r="D107" s="4" t="s">
        <v>154</v>
      </c>
      <c r="E107" s="4" t="s">
        <v>744</v>
      </c>
      <c r="F107" s="4" t="s">
        <v>3</v>
      </c>
      <c r="G107" s="4" t="s">
        <v>4</v>
      </c>
      <c r="H107" s="4" t="s">
        <v>119</v>
      </c>
      <c r="I107" s="5">
        <v>43544</v>
      </c>
      <c r="J107" s="6">
        <v>0.48234953703703703</v>
      </c>
      <c r="K107" s="5">
        <v>43546</v>
      </c>
      <c r="L107" s="4" t="s">
        <v>6</v>
      </c>
      <c r="M107" s="4"/>
      <c r="N107" s="4" t="s">
        <v>223</v>
      </c>
      <c r="O107" s="4" t="s">
        <v>224</v>
      </c>
      <c r="P107" s="4" t="s">
        <v>225</v>
      </c>
      <c r="Q107" s="4" t="s">
        <v>4</v>
      </c>
      <c r="R107" s="4" t="s">
        <v>4</v>
      </c>
      <c r="S107" s="4" t="s">
        <v>10</v>
      </c>
      <c r="T107" s="4"/>
      <c r="U107" s="4"/>
      <c r="V107" s="4"/>
      <c r="W107" s="4" t="s">
        <v>27</v>
      </c>
      <c r="X107" s="4" t="s">
        <v>745</v>
      </c>
      <c r="Y107" s="4" t="s">
        <v>745</v>
      </c>
      <c r="Z107" s="4" t="s">
        <v>512</v>
      </c>
      <c r="AA107" s="4" t="s">
        <v>746</v>
      </c>
      <c r="AB107" s="4" t="s">
        <v>747</v>
      </c>
      <c r="AC107" s="4" t="s">
        <v>748</v>
      </c>
      <c r="AD107" s="4" t="s">
        <v>17</v>
      </c>
      <c r="AE107" s="4" t="s">
        <v>749</v>
      </c>
      <c r="AF107" s="4" t="s">
        <v>19</v>
      </c>
      <c r="AG107" s="4" t="s">
        <v>19</v>
      </c>
      <c r="AH107" s="4" t="s">
        <v>747</v>
      </c>
    </row>
    <row r="108" spans="2:34" ht="15">
      <c r="B108" s="1" t="s">
        <v>153</v>
      </c>
      <c r="C108" s="2">
        <v>43545</v>
      </c>
      <c r="D108" s="1" t="s">
        <v>154</v>
      </c>
      <c r="E108" s="1" t="s">
        <v>750</v>
      </c>
      <c r="F108" s="1" t="s">
        <v>3</v>
      </c>
      <c r="G108" s="1" t="s">
        <v>4</v>
      </c>
      <c r="H108" s="1" t="s">
        <v>632</v>
      </c>
      <c r="I108" s="2">
        <v>43545</v>
      </c>
      <c r="J108" s="3">
        <v>0.33795138888888887</v>
      </c>
      <c r="K108" s="2">
        <v>43549</v>
      </c>
      <c r="L108" s="1" t="s">
        <v>6</v>
      </c>
      <c r="M108" s="1"/>
      <c r="N108" s="1" t="s">
        <v>165</v>
      </c>
      <c r="O108" s="1" t="s">
        <v>166</v>
      </c>
      <c r="P108" s="1" t="s">
        <v>167</v>
      </c>
      <c r="Q108" s="1" t="s">
        <v>4</v>
      </c>
      <c r="R108" s="1" t="s">
        <v>4</v>
      </c>
      <c r="S108" s="1" t="s">
        <v>10</v>
      </c>
      <c r="T108" s="1"/>
      <c r="U108" s="1"/>
      <c r="V108" s="1"/>
      <c r="W108" s="1" t="s">
        <v>27</v>
      </c>
      <c r="X108" s="1" t="s">
        <v>751</v>
      </c>
      <c r="Y108" s="1" t="s">
        <v>751</v>
      </c>
      <c r="Z108" s="1" t="s">
        <v>752</v>
      </c>
      <c r="AA108" s="1" t="s">
        <v>753</v>
      </c>
      <c r="AB108" s="1" t="s">
        <v>754</v>
      </c>
      <c r="AC108" s="1" t="s">
        <v>755</v>
      </c>
      <c r="AD108" s="1" t="s">
        <v>17</v>
      </c>
      <c r="AE108" s="1" t="s">
        <v>18</v>
      </c>
      <c r="AF108" s="1" t="s">
        <v>19</v>
      </c>
      <c r="AG108" s="1" t="s">
        <v>19</v>
      </c>
      <c r="AH108" s="1" t="s">
        <v>754</v>
      </c>
    </row>
    <row r="109" spans="2:34" ht="15">
      <c r="B109" s="4" t="s">
        <v>153</v>
      </c>
      <c r="C109" s="5">
        <v>43545</v>
      </c>
      <c r="D109" s="4" t="s">
        <v>154</v>
      </c>
      <c r="E109" s="4" t="s">
        <v>750</v>
      </c>
      <c r="F109" s="4" t="s">
        <v>3</v>
      </c>
      <c r="G109" s="4" t="s">
        <v>4</v>
      </c>
      <c r="H109" s="4" t="s">
        <v>119</v>
      </c>
      <c r="I109" s="5">
        <v>43544</v>
      </c>
      <c r="J109" s="6">
        <v>0.4862962962962963</v>
      </c>
      <c r="K109" s="5">
        <v>43546</v>
      </c>
      <c r="L109" s="4" t="s">
        <v>6</v>
      </c>
      <c r="M109" s="4"/>
      <c r="N109" s="4" t="s">
        <v>214</v>
      </c>
      <c r="O109" s="4" t="s">
        <v>215</v>
      </c>
      <c r="P109" s="4" t="s">
        <v>216</v>
      </c>
      <c r="Q109" s="4" t="s">
        <v>4</v>
      </c>
      <c r="R109" s="4" t="s">
        <v>4</v>
      </c>
      <c r="S109" s="4" t="s">
        <v>10</v>
      </c>
      <c r="T109" s="4"/>
      <c r="U109" s="4"/>
      <c r="V109" s="4"/>
      <c r="W109" s="4" t="s">
        <v>11</v>
      </c>
      <c r="X109" s="4" t="s">
        <v>756</v>
      </c>
      <c r="Y109" s="4" t="s">
        <v>756</v>
      </c>
      <c r="Z109" s="4" t="s">
        <v>757</v>
      </c>
      <c r="AA109" s="4" t="s">
        <v>758</v>
      </c>
      <c r="AB109" s="4" t="s">
        <v>759</v>
      </c>
      <c r="AC109" s="4" t="s">
        <v>760</v>
      </c>
      <c r="AD109" s="4" t="s">
        <v>17</v>
      </c>
      <c r="AE109" s="4" t="s">
        <v>17</v>
      </c>
      <c r="AF109" s="4" t="s">
        <v>19</v>
      </c>
      <c r="AG109" s="4" t="s">
        <v>19</v>
      </c>
      <c r="AH109" s="4" t="s">
        <v>759</v>
      </c>
    </row>
    <row r="110" spans="2:34" ht="15">
      <c r="B110" s="1" t="s">
        <v>153</v>
      </c>
      <c r="C110" s="2">
        <v>43545</v>
      </c>
      <c r="D110" s="1" t="s">
        <v>154</v>
      </c>
      <c r="E110" s="1" t="s">
        <v>761</v>
      </c>
      <c r="F110" s="1" t="s">
        <v>3</v>
      </c>
      <c r="G110" s="1" t="s">
        <v>4</v>
      </c>
      <c r="H110" s="1" t="s">
        <v>119</v>
      </c>
      <c r="I110" s="2">
        <v>43544</v>
      </c>
      <c r="J110" s="3">
        <v>0.4919675925925926</v>
      </c>
      <c r="K110" s="2">
        <v>43546</v>
      </c>
      <c r="L110" s="1" t="s">
        <v>6</v>
      </c>
      <c r="M110" s="1"/>
      <c r="N110" s="1" t="s">
        <v>288</v>
      </c>
      <c r="O110" s="1" t="s">
        <v>289</v>
      </c>
      <c r="P110" s="1" t="s">
        <v>290</v>
      </c>
      <c r="Q110" s="1" t="s">
        <v>4</v>
      </c>
      <c r="R110" s="1" t="s">
        <v>4</v>
      </c>
      <c r="S110" s="1" t="s">
        <v>10</v>
      </c>
      <c r="T110" s="1"/>
      <c r="U110" s="1"/>
      <c r="V110" s="1"/>
      <c r="W110" s="1" t="s">
        <v>11</v>
      </c>
      <c r="X110" s="1" t="s">
        <v>762</v>
      </c>
      <c r="Y110" s="1" t="s">
        <v>762</v>
      </c>
      <c r="Z110" s="1" t="s">
        <v>763</v>
      </c>
      <c r="AA110" s="1" t="s">
        <v>764</v>
      </c>
      <c r="AB110" s="1" t="s">
        <v>765</v>
      </c>
      <c r="AC110" s="1" t="s">
        <v>766</v>
      </c>
      <c r="AD110" s="1" t="s">
        <v>17</v>
      </c>
      <c r="AE110" s="1" t="s">
        <v>17</v>
      </c>
      <c r="AF110" s="1" t="s">
        <v>19</v>
      </c>
      <c r="AG110" s="1" t="s">
        <v>19</v>
      </c>
      <c r="AH110" s="1" t="s">
        <v>765</v>
      </c>
    </row>
    <row r="111" spans="2:34" ht="15">
      <c r="B111" s="4" t="s">
        <v>153</v>
      </c>
      <c r="C111" s="5">
        <v>43545</v>
      </c>
      <c r="D111" s="4" t="s">
        <v>154</v>
      </c>
      <c r="E111" s="4" t="s">
        <v>767</v>
      </c>
      <c r="F111" s="4" t="s">
        <v>3</v>
      </c>
      <c r="G111" s="4" t="s">
        <v>4</v>
      </c>
      <c r="H111" s="4" t="s">
        <v>109</v>
      </c>
      <c r="I111" s="5">
        <v>43544</v>
      </c>
      <c r="J111" s="6">
        <v>0.5097222222222222</v>
      </c>
      <c r="K111" s="5">
        <v>43546</v>
      </c>
      <c r="L111" s="4" t="s">
        <v>6</v>
      </c>
      <c r="M111" s="4"/>
      <c r="N111" s="4" t="s">
        <v>241</v>
      </c>
      <c r="O111" s="4" t="s">
        <v>242</v>
      </c>
      <c r="P111" s="4" t="s">
        <v>243</v>
      </c>
      <c r="Q111" s="4" t="s">
        <v>4</v>
      </c>
      <c r="R111" s="4" t="s">
        <v>4</v>
      </c>
      <c r="S111" s="4" t="s">
        <v>10</v>
      </c>
      <c r="T111" s="4"/>
      <c r="U111" s="4"/>
      <c r="V111" s="4"/>
      <c r="W111" s="4" t="s">
        <v>11</v>
      </c>
      <c r="X111" s="4" t="s">
        <v>768</v>
      </c>
      <c r="Y111" s="4" t="s">
        <v>768</v>
      </c>
      <c r="Z111" s="4" t="s">
        <v>769</v>
      </c>
      <c r="AA111" s="4" t="s">
        <v>770</v>
      </c>
      <c r="AB111" s="4" t="s">
        <v>771</v>
      </c>
      <c r="AC111" s="4" t="s">
        <v>772</v>
      </c>
      <c r="AD111" s="4" t="s">
        <v>17</v>
      </c>
      <c r="AE111" s="4" t="s">
        <v>17</v>
      </c>
      <c r="AF111" s="4" t="s">
        <v>19</v>
      </c>
      <c r="AG111" s="4" t="s">
        <v>19</v>
      </c>
      <c r="AH111" s="4" t="s">
        <v>771</v>
      </c>
    </row>
    <row r="112" spans="2:34" ht="15">
      <c r="B112" s="1" t="s">
        <v>153</v>
      </c>
      <c r="C112" s="2">
        <v>43545</v>
      </c>
      <c r="D112" s="1" t="s">
        <v>154</v>
      </c>
      <c r="E112" s="1" t="s">
        <v>773</v>
      </c>
      <c r="F112" s="1" t="s">
        <v>3</v>
      </c>
      <c r="G112" s="1" t="s">
        <v>4</v>
      </c>
      <c r="H112" s="1" t="s">
        <v>109</v>
      </c>
      <c r="I112" s="2">
        <v>43544</v>
      </c>
      <c r="J112" s="3">
        <v>0.5138888888888888</v>
      </c>
      <c r="K112" s="2">
        <v>43546</v>
      </c>
      <c r="L112" s="1" t="s">
        <v>6</v>
      </c>
      <c r="M112" s="1"/>
      <c r="N112" s="1" t="s">
        <v>156</v>
      </c>
      <c r="O112" s="1" t="s">
        <v>157</v>
      </c>
      <c r="P112" s="1" t="s">
        <v>158</v>
      </c>
      <c r="Q112" s="1" t="s">
        <v>4</v>
      </c>
      <c r="R112" s="1" t="s">
        <v>4</v>
      </c>
      <c r="S112" s="1" t="s">
        <v>10</v>
      </c>
      <c r="T112" s="1"/>
      <c r="U112" s="1"/>
      <c r="V112" s="1"/>
      <c r="W112" s="1" t="s">
        <v>11</v>
      </c>
      <c r="X112" s="1" t="s">
        <v>610</v>
      </c>
      <c r="Y112" s="1" t="s">
        <v>610</v>
      </c>
      <c r="Z112" s="1" t="s">
        <v>774</v>
      </c>
      <c r="AA112" s="1" t="s">
        <v>775</v>
      </c>
      <c r="AB112" s="1" t="s">
        <v>776</v>
      </c>
      <c r="AC112" s="1" t="s">
        <v>777</v>
      </c>
      <c r="AD112" s="1" t="s">
        <v>17</v>
      </c>
      <c r="AE112" s="1" t="s">
        <v>17</v>
      </c>
      <c r="AF112" s="1" t="s">
        <v>19</v>
      </c>
      <c r="AG112" s="1" t="s">
        <v>19</v>
      </c>
      <c r="AH112" s="1" t="s">
        <v>776</v>
      </c>
    </row>
    <row r="113" spans="2:34" ht="15">
      <c r="B113" s="4" t="s">
        <v>153</v>
      </c>
      <c r="C113" s="5">
        <v>43545</v>
      </c>
      <c r="D113" s="4" t="s">
        <v>154</v>
      </c>
      <c r="E113" s="4" t="s">
        <v>778</v>
      </c>
      <c r="F113" s="4" t="s">
        <v>3</v>
      </c>
      <c r="G113" s="4" t="s">
        <v>4</v>
      </c>
      <c r="H113" s="4" t="s">
        <v>109</v>
      </c>
      <c r="I113" s="5">
        <v>43544</v>
      </c>
      <c r="J113" s="6">
        <v>0.5138888888888888</v>
      </c>
      <c r="K113" s="5">
        <v>43546</v>
      </c>
      <c r="L113" s="4" t="s">
        <v>6</v>
      </c>
      <c r="M113" s="4"/>
      <c r="N113" s="4" t="s">
        <v>410</v>
      </c>
      <c r="O113" s="4" t="s">
        <v>411</v>
      </c>
      <c r="P113" s="4" t="s">
        <v>779</v>
      </c>
      <c r="Q113" s="4" t="s">
        <v>4</v>
      </c>
      <c r="R113" s="4" t="s">
        <v>4</v>
      </c>
      <c r="S113" s="4" t="s">
        <v>10</v>
      </c>
      <c r="T113" s="4"/>
      <c r="U113" s="4"/>
      <c r="V113" s="4"/>
      <c r="W113" s="4" t="s">
        <v>11</v>
      </c>
      <c r="X113" s="4" t="s">
        <v>780</v>
      </c>
      <c r="Y113" s="4" t="s">
        <v>780</v>
      </c>
      <c r="Z113" s="4" t="s">
        <v>781</v>
      </c>
      <c r="AA113" s="4" t="s">
        <v>782</v>
      </c>
      <c r="AB113" s="4" t="s">
        <v>783</v>
      </c>
      <c r="AC113" s="4" t="s">
        <v>784</v>
      </c>
      <c r="AD113" s="4" t="s">
        <v>17</v>
      </c>
      <c r="AE113" s="4" t="s">
        <v>17</v>
      </c>
      <c r="AF113" s="4" t="s">
        <v>19</v>
      </c>
      <c r="AG113" s="4" t="s">
        <v>19</v>
      </c>
      <c r="AH113" s="4" t="s">
        <v>783</v>
      </c>
    </row>
    <row r="114" spans="2:34" ht="15">
      <c r="B114" s="1" t="s">
        <v>153</v>
      </c>
      <c r="C114" s="2">
        <v>43545</v>
      </c>
      <c r="D114" s="1" t="s">
        <v>154</v>
      </c>
      <c r="E114" s="1" t="s">
        <v>785</v>
      </c>
      <c r="F114" s="1" t="s">
        <v>3</v>
      </c>
      <c r="G114" s="1" t="s">
        <v>4</v>
      </c>
      <c r="H114" s="1" t="s">
        <v>786</v>
      </c>
      <c r="I114" s="2">
        <v>43544</v>
      </c>
      <c r="J114" s="3">
        <v>0.5173611111111112</v>
      </c>
      <c r="K114" s="2">
        <v>43546</v>
      </c>
      <c r="L114" s="1" t="s">
        <v>6</v>
      </c>
      <c r="M114" s="1"/>
      <c r="N114" s="1" t="s">
        <v>326</v>
      </c>
      <c r="O114" s="1" t="s">
        <v>327</v>
      </c>
      <c r="P114" s="1" t="s">
        <v>328</v>
      </c>
      <c r="Q114" s="1" t="s">
        <v>4</v>
      </c>
      <c r="R114" s="1" t="s">
        <v>4</v>
      </c>
      <c r="S114" s="1" t="s">
        <v>10</v>
      </c>
      <c r="T114" s="1"/>
      <c r="U114" s="1"/>
      <c r="V114" s="1"/>
      <c r="W114" s="1" t="s">
        <v>11</v>
      </c>
      <c r="X114" s="1" t="s">
        <v>787</v>
      </c>
      <c r="Y114" s="1" t="s">
        <v>787</v>
      </c>
      <c r="Z114" s="1" t="s">
        <v>788</v>
      </c>
      <c r="AA114" s="1" t="s">
        <v>789</v>
      </c>
      <c r="AB114" s="1" t="s">
        <v>790</v>
      </c>
      <c r="AC114" s="1" t="s">
        <v>791</v>
      </c>
      <c r="AD114" s="1" t="s">
        <v>17</v>
      </c>
      <c r="AE114" s="1" t="s">
        <v>17</v>
      </c>
      <c r="AF114" s="1" t="s">
        <v>19</v>
      </c>
      <c r="AG114" s="1" t="s">
        <v>19</v>
      </c>
      <c r="AH114" s="1" t="s">
        <v>790</v>
      </c>
    </row>
    <row r="115" spans="2:34" ht="15">
      <c r="B115" s="4" t="s">
        <v>153</v>
      </c>
      <c r="C115" s="5">
        <v>43545</v>
      </c>
      <c r="D115" s="4" t="s">
        <v>154</v>
      </c>
      <c r="E115" s="4" t="s">
        <v>792</v>
      </c>
      <c r="F115" s="4" t="s">
        <v>3</v>
      </c>
      <c r="G115" s="4" t="s">
        <v>4</v>
      </c>
      <c r="H115" s="4" t="s">
        <v>786</v>
      </c>
      <c r="I115" s="5">
        <v>43544</v>
      </c>
      <c r="J115" s="6">
        <v>0.5180555555555556</v>
      </c>
      <c r="K115" s="5">
        <v>43546</v>
      </c>
      <c r="L115" s="4" t="s">
        <v>6</v>
      </c>
      <c r="M115" s="4"/>
      <c r="N115" s="4" t="s">
        <v>269</v>
      </c>
      <c r="O115" s="4" t="s">
        <v>270</v>
      </c>
      <c r="P115" s="4" t="s">
        <v>271</v>
      </c>
      <c r="Q115" s="4" t="s">
        <v>4</v>
      </c>
      <c r="R115" s="4" t="s">
        <v>4</v>
      </c>
      <c r="S115" s="4" t="s">
        <v>10</v>
      </c>
      <c r="T115" s="4"/>
      <c r="U115" s="4"/>
      <c r="V115" s="4"/>
      <c r="W115" s="4" t="s">
        <v>11</v>
      </c>
      <c r="X115" s="4" t="s">
        <v>745</v>
      </c>
      <c r="Y115" s="4" t="s">
        <v>745</v>
      </c>
      <c r="Z115" s="4" t="s">
        <v>793</v>
      </c>
      <c r="AA115" s="4" t="s">
        <v>794</v>
      </c>
      <c r="AB115" s="4" t="s">
        <v>795</v>
      </c>
      <c r="AC115" s="4" t="s">
        <v>796</v>
      </c>
      <c r="AD115" s="4" t="s">
        <v>17</v>
      </c>
      <c r="AE115" s="4" t="s">
        <v>18</v>
      </c>
      <c r="AF115" s="4" t="s">
        <v>19</v>
      </c>
      <c r="AG115" s="4" t="s">
        <v>19</v>
      </c>
      <c r="AH115" s="4" t="s">
        <v>795</v>
      </c>
    </row>
    <row r="116" spans="2:34" ht="15">
      <c r="B116" s="1" t="s">
        <v>153</v>
      </c>
      <c r="C116" s="2">
        <v>43545</v>
      </c>
      <c r="D116" s="1" t="s">
        <v>154</v>
      </c>
      <c r="E116" s="1" t="s">
        <v>797</v>
      </c>
      <c r="F116" s="1" t="s">
        <v>3</v>
      </c>
      <c r="G116" s="1" t="s">
        <v>4</v>
      </c>
      <c r="H116" s="1" t="s">
        <v>90</v>
      </c>
      <c r="I116" s="2">
        <v>43544</v>
      </c>
      <c r="J116" s="3">
        <v>0.560324074074074</v>
      </c>
      <c r="K116" s="2">
        <v>43546</v>
      </c>
      <c r="L116" s="1" t="s">
        <v>6</v>
      </c>
      <c r="M116" s="1"/>
      <c r="N116" s="1" t="s">
        <v>336</v>
      </c>
      <c r="O116" s="1" t="s">
        <v>337</v>
      </c>
      <c r="P116" s="1" t="s">
        <v>338</v>
      </c>
      <c r="Q116" s="1" t="s">
        <v>4</v>
      </c>
      <c r="R116" s="1" t="s">
        <v>4</v>
      </c>
      <c r="S116" s="1" t="s">
        <v>10</v>
      </c>
      <c r="T116" s="1"/>
      <c r="U116" s="1"/>
      <c r="V116" s="1"/>
      <c r="W116" s="1" t="s">
        <v>11</v>
      </c>
      <c r="X116" s="1" t="s">
        <v>798</v>
      </c>
      <c r="Y116" s="1" t="s">
        <v>798</v>
      </c>
      <c r="Z116" s="1" t="s">
        <v>799</v>
      </c>
      <c r="AA116" s="1" t="s">
        <v>800</v>
      </c>
      <c r="AB116" s="1" t="s">
        <v>801</v>
      </c>
      <c r="AC116" s="1" t="s">
        <v>802</v>
      </c>
      <c r="AD116" s="1" t="s">
        <v>17</v>
      </c>
      <c r="AE116" s="1" t="s">
        <v>17</v>
      </c>
      <c r="AF116" s="1" t="s">
        <v>19</v>
      </c>
      <c r="AG116" s="1" t="s">
        <v>19</v>
      </c>
      <c r="AH116" s="1" t="s">
        <v>801</v>
      </c>
    </row>
    <row r="117" spans="2:34" ht="15">
      <c r="B117" s="4" t="s">
        <v>153</v>
      </c>
      <c r="C117" s="5">
        <v>43545</v>
      </c>
      <c r="D117" s="4" t="s">
        <v>154</v>
      </c>
      <c r="E117" s="4" t="s">
        <v>803</v>
      </c>
      <c r="F117" s="4" t="s">
        <v>3</v>
      </c>
      <c r="G117" s="4" t="s">
        <v>4</v>
      </c>
      <c r="H117" s="4" t="s">
        <v>90</v>
      </c>
      <c r="I117" s="5">
        <v>43544</v>
      </c>
      <c r="J117" s="6">
        <v>0.5603587962962963</v>
      </c>
      <c r="K117" s="5">
        <v>43546</v>
      </c>
      <c r="L117" s="4" t="s">
        <v>6</v>
      </c>
      <c r="M117" s="4"/>
      <c r="N117" s="4" t="s">
        <v>184</v>
      </c>
      <c r="O117" s="4" t="s">
        <v>185</v>
      </c>
      <c r="P117" s="4" t="s">
        <v>186</v>
      </c>
      <c r="Q117" s="4" t="s">
        <v>4</v>
      </c>
      <c r="R117" s="4" t="s">
        <v>4</v>
      </c>
      <c r="S117" s="4" t="s">
        <v>10</v>
      </c>
      <c r="T117" s="4"/>
      <c r="U117" s="4"/>
      <c r="V117" s="4"/>
      <c r="W117" s="4" t="s">
        <v>11</v>
      </c>
      <c r="X117" s="4" t="s">
        <v>804</v>
      </c>
      <c r="Y117" s="4" t="s">
        <v>804</v>
      </c>
      <c r="Z117" s="4" t="s">
        <v>805</v>
      </c>
      <c r="AA117" s="4" t="s">
        <v>806</v>
      </c>
      <c r="AB117" s="4" t="s">
        <v>807</v>
      </c>
      <c r="AC117" s="4" t="s">
        <v>808</v>
      </c>
      <c r="AD117" s="4" t="s">
        <v>17</v>
      </c>
      <c r="AE117" s="4" t="s">
        <v>17</v>
      </c>
      <c r="AF117" s="4" t="s">
        <v>19</v>
      </c>
      <c r="AG117" s="4" t="s">
        <v>19</v>
      </c>
      <c r="AH117" s="4" t="s">
        <v>807</v>
      </c>
    </row>
    <row r="118" spans="2:34" ht="15">
      <c r="B118" s="1" t="s">
        <v>153</v>
      </c>
      <c r="C118" s="2">
        <v>43545</v>
      </c>
      <c r="D118" s="1" t="s">
        <v>154</v>
      </c>
      <c r="E118" s="1" t="s">
        <v>809</v>
      </c>
      <c r="F118" s="1" t="s">
        <v>3</v>
      </c>
      <c r="G118" s="1" t="s">
        <v>4</v>
      </c>
      <c r="H118" s="1" t="s">
        <v>90</v>
      </c>
      <c r="I118" s="2">
        <v>43544</v>
      </c>
      <c r="J118" s="3">
        <v>0.6953703703703704</v>
      </c>
      <c r="K118" s="2">
        <v>43546</v>
      </c>
      <c r="L118" s="1" t="s">
        <v>6</v>
      </c>
      <c r="M118" s="1"/>
      <c r="N118" s="1" t="s">
        <v>127</v>
      </c>
      <c r="O118" s="1" t="s">
        <v>128</v>
      </c>
      <c r="P118" s="1" t="s">
        <v>129</v>
      </c>
      <c r="Q118" s="1" t="s">
        <v>4</v>
      </c>
      <c r="R118" s="1" t="s">
        <v>4</v>
      </c>
      <c r="S118" s="1" t="s">
        <v>10</v>
      </c>
      <c r="T118" s="1"/>
      <c r="U118" s="1"/>
      <c r="V118" s="1"/>
      <c r="W118" s="1" t="s">
        <v>11</v>
      </c>
      <c r="X118" s="1" t="s">
        <v>610</v>
      </c>
      <c r="Y118" s="1" t="s">
        <v>610</v>
      </c>
      <c r="Z118" s="1" t="s">
        <v>810</v>
      </c>
      <c r="AA118" s="1" t="s">
        <v>811</v>
      </c>
      <c r="AB118" s="1" t="s">
        <v>812</v>
      </c>
      <c r="AC118" s="1" t="s">
        <v>813</v>
      </c>
      <c r="AD118" s="1" t="s">
        <v>17</v>
      </c>
      <c r="AE118" s="1" t="s">
        <v>17</v>
      </c>
      <c r="AF118" s="1" t="s">
        <v>19</v>
      </c>
      <c r="AG118" s="1" t="s">
        <v>19</v>
      </c>
      <c r="AH118" s="1" t="s">
        <v>812</v>
      </c>
    </row>
    <row r="119" spans="2:34" ht="15">
      <c r="B119" s="4" t="s">
        <v>0</v>
      </c>
      <c r="C119" s="5">
        <v>43546</v>
      </c>
      <c r="D119" s="4" t="s">
        <v>1</v>
      </c>
      <c r="E119" s="4" t="s">
        <v>814</v>
      </c>
      <c r="F119" s="4" t="s">
        <v>3</v>
      </c>
      <c r="G119" s="4" t="s">
        <v>4</v>
      </c>
      <c r="H119" s="4" t="s">
        <v>90</v>
      </c>
      <c r="I119" s="5">
        <v>43545</v>
      </c>
      <c r="J119" s="6">
        <v>0.6935185185185185</v>
      </c>
      <c r="K119" s="5">
        <v>43549</v>
      </c>
      <c r="L119" s="4" t="s">
        <v>6</v>
      </c>
      <c r="M119" s="4"/>
      <c r="N119" s="4" t="s">
        <v>663</v>
      </c>
      <c r="O119" s="4" t="s">
        <v>664</v>
      </c>
      <c r="P119" s="4" t="s">
        <v>665</v>
      </c>
      <c r="Q119" s="4" t="s">
        <v>4</v>
      </c>
      <c r="R119" s="4" t="s">
        <v>4</v>
      </c>
      <c r="S119" s="4" t="s">
        <v>10</v>
      </c>
      <c r="T119" s="4"/>
      <c r="U119" s="4"/>
      <c r="V119" s="4"/>
      <c r="W119" s="4" t="s">
        <v>27</v>
      </c>
      <c r="X119" s="4" t="s">
        <v>815</v>
      </c>
      <c r="Y119" s="4" t="s">
        <v>815</v>
      </c>
      <c r="Z119" s="4" t="s">
        <v>781</v>
      </c>
      <c r="AA119" s="4" t="s">
        <v>816</v>
      </c>
      <c r="AB119" s="4" t="s">
        <v>817</v>
      </c>
      <c r="AC119" s="4" t="s">
        <v>818</v>
      </c>
      <c r="AD119" s="4" t="s">
        <v>17</v>
      </c>
      <c r="AE119" s="4" t="s">
        <v>819</v>
      </c>
      <c r="AF119" s="4" t="s">
        <v>19</v>
      </c>
      <c r="AG119" s="4" t="s">
        <v>19</v>
      </c>
      <c r="AH119" s="4" t="s">
        <v>817</v>
      </c>
    </row>
    <row r="120" spans="2:34" ht="15">
      <c r="B120" s="1" t="s">
        <v>0</v>
      </c>
      <c r="C120" s="2">
        <v>43546</v>
      </c>
      <c r="D120" s="1" t="s">
        <v>1</v>
      </c>
      <c r="E120" s="1" t="s">
        <v>820</v>
      </c>
      <c r="F120" s="1" t="s">
        <v>3</v>
      </c>
      <c r="G120" s="1" t="s">
        <v>4</v>
      </c>
      <c r="H120" s="1" t="s">
        <v>119</v>
      </c>
      <c r="I120" s="2">
        <v>43545</v>
      </c>
      <c r="J120" s="3">
        <v>0.6939351851851852</v>
      </c>
      <c r="K120" s="2">
        <v>43549</v>
      </c>
      <c r="L120" s="1" t="s">
        <v>6</v>
      </c>
      <c r="M120" s="1"/>
      <c r="N120" s="1" t="s">
        <v>663</v>
      </c>
      <c r="O120" s="1" t="s">
        <v>664</v>
      </c>
      <c r="P120" s="1" t="s">
        <v>665</v>
      </c>
      <c r="Q120" s="1" t="s">
        <v>4</v>
      </c>
      <c r="R120" s="1" t="s">
        <v>4</v>
      </c>
      <c r="S120" s="1" t="s">
        <v>10</v>
      </c>
      <c r="T120" s="1"/>
      <c r="U120" s="1"/>
      <c r="V120" s="1"/>
      <c r="W120" s="1" t="s">
        <v>27</v>
      </c>
      <c r="X120" s="1" t="s">
        <v>821</v>
      </c>
      <c r="Y120" s="1" t="s">
        <v>821</v>
      </c>
      <c r="Z120" s="1" t="s">
        <v>781</v>
      </c>
      <c r="AA120" s="1" t="s">
        <v>822</v>
      </c>
      <c r="AB120" s="1" t="s">
        <v>823</v>
      </c>
      <c r="AC120" s="1" t="s">
        <v>824</v>
      </c>
      <c r="AD120" s="1" t="s">
        <v>17</v>
      </c>
      <c r="AE120" s="1" t="s">
        <v>825</v>
      </c>
      <c r="AF120" s="1" t="s">
        <v>19</v>
      </c>
      <c r="AG120" s="1" t="s">
        <v>19</v>
      </c>
      <c r="AH120" s="1" t="s">
        <v>823</v>
      </c>
    </row>
    <row r="121" spans="2:34" ht="15">
      <c r="B121" s="4" t="s">
        <v>153</v>
      </c>
      <c r="C121" s="5">
        <v>43546</v>
      </c>
      <c r="D121" s="4" t="s">
        <v>154</v>
      </c>
      <c r="E121" s="4" t="s">
        <v>826</v>
      </c>
      <c r="F121" s="4" t="s">
        <v>3</v>
      </c>
      <c r="G121" s="4" t="s">
        <v>4</v>
      </c>
      <c r="H121" s="4" t="s">
        <v>786</v>
      </c>
      <c r="I121" s="5">
        <v>43545</v>
      </c>
      <c r="J121" s="6">
        <v>0.46805555555555556</v>
      </c>
      <c r="K121" s="5">
        <v>43549</v>
      </c>
      <c r="L121" s="4" t="s">
        <v>6</v>
      </c>
      <c r="M121" s="4"/>
      <c r="N121" s="4" t="s">
        <v>827</v>
      </c>
      <c r="O121" s="4" t="s">
        <v>359</v>
      </c>
      <c r="P121" s="4" t="s">
        <v>360</v>
      </c>
      <c r="Q121" s="4" t="s">
        <v>4</v>
      </c>
      <c r="R121" s="4" t="s">
        <v>4</v>
      </c>
      <c r="S121" s="4" t="s">
        <v>10</v>
      </c>
      <c r="T121" s="4"/>
      <c r="U121" s="4"/>
      <c r="V121" s="4"/>
      <c r="W121" s="4" t="s">
        <v>11</v>
      </c>
      <c r="X121" s="4" t="s">
        <v>714</v>
      </c>
      <c r="Y121" s="4" t="s">
        <v>714</v>
      </c>
      <c r="Z121" s="4" t="s">
        <v>828</v>
      </c>
      <c r="AA121" s="4" t="s">
        <v>829</v>
      </c>
      <c r="AB121" s="4" t="s">
        <v>830</v>
      </c>
      <c r="AC121" s="4" t="s">
        <v>831</v>
      </c>
      <c r="AD121" s="4" t="s">
        <v>17</v>
      </c>
      <c r="AE121" s="4" t="s">
        <v>17</v>
      </c>
      <c r="AF121" s="4" t="s">
        <v>19</v>
      </c>
      <c r="AG121" s="4" t="s">
        <v>19</v>
      </c>
      <c r="AH121" s="4" t="s">
        <v>830</v>
      </c>
    </row>
    <row r="122" spans="2:34" ht="15">
      <c r="B122" s="1" t="s">
        <v>153</v>
      </c>
      <c r="C122" s="2">
        <v>43546</v>
      </c>
      <c r="D122" s="1" t="s">
        <v>154</v>
      </c>
      <c r="E122" s="1" t="s">
        <v>832</v>
      </c>
      <c r="F122" s="1" t="s">
        <v>3</v>
      </c>
      <c r="G122" s="1" t="s">
        <v>4</v>
      </c>
      <c r="H122" s="1" t="s">
        <v>632</v>
      </c>
      <c r="I122" s="2">
        <v>43545</v>
      </c>
      <c r="J122" s="3">
        <v>0.5222916666666667</v>
      </c>
      <c r="K122" s="2">
        <v>43549</v>
      </c>
      <c r="L122" s="1" t="s">
        <v>6</v>
      </c>
      <c r="M122" s="1"/>
      <c r="N122" s="1" t="s">
        <v>110</v>
      </c>
      <c r="O122" s="1" t="s">
        <v>111</v>
      </c>
      <c r="P122" s="1" t="s">
        <v>112</v>
      </c>
      <c r="Q122" s="1" t="s">
        <v>4</v>
      </c>
      <c r="R122" s="1" t="s">
        <v>4</v>
      </c>
      <c r="S122" s="1" t="s">
        <v>10</v>
      </c>
      <c r="T122" s="1"/>
      <c r="U122" s="1"/>
      <c r="V122" s="1"/>
      <c r="W122" s="1" t="s">
        <v>27</v>
      </c>
      <c r="X122" s="1" t="s">
        <v>833</v>
      </c>
      <c r="Y122" s="1" t="s">
        <v>833</v>
      </c>
      <c r="Z122" s="1" t="s">
        <v>834</v>
      </c>
      <c r="AA122" s="1" t="s">
        <v>835</v>
      </c>
      <c r="AB122" s="1" t="s">
        <v>836</v>
      </c>
      <c r="AC122" s="1" t="s">
        <v>837</v>
      </c>
      <c r="AD122" s="1" t="s">
        <v>17</v>
      </c>
      <c r="AE122" s="1" t="s">
        <v>17</v>
      </c>
      <c r="AF122" s="1" t="s">
        <v>19</v>
      </c>
      <c r="AG122" s="1" t="s">
        <v>19</v>
      </c>
      <c r="AH122" s="1" t="s">
        <v>836</v>
      </c>
    </row>
    <row r="123" spans="2:34" ht="15">
      <c r="B123" s="4" t="s">
        <v>153</v>
      </c>
      <c r="C123" s="5">
        <v>43546</v>
      </c>
      <c r="D123" s="4" t="s">
        <v>154</v>
      </c>
      <c r="E123" s="4" t="s">
        <v>838</v>
      </c>
      <c r="F123" s="4" t="s">
        <v>3</v>
      </c>
      <c r="G123" s="4" t="s">
        <v>4</v>
      </c>
      <c r="H123" s="4" t="s">
        <v>23</v>
      </c>
      <c r="I123" s="5">
        <v>43545</v>
      </c>
      <c r="J123" s="6">
        <v>0.6270254629629629</v>
      </c>
      <c r="K123" s="5">
        <v>43549</v>
      </c>
      <c r="L123" s="4" t="s">
        <v>6</v>
      </c>
      <c r="M123" s="4"/>
      <c r="N123" s="4" t="s">
        <v>145</v>
      </c>
      <c r="O123" s="4" t="s">
        <v>146</v>
      </c>
      <c r="P123" s="4" t="s">
        <v>147</v>
      </c>
      <c r="Q123" s="4" t="s">
        <v>4</v>
      </c>
      <c r="R123" s="4" t="s">
        <v>4</v>
      </c>
      <c r="S123" s="4" t="s">
        <v>10</v>
      </c>
      <c r="T123" s="4"/>
      <c r="U123" s="4"/>
      <c r="V123" s="4"/>
      <c r="W123" s="4" t="s">
        <v>27</v>
      </c>
      <c r="X123" s="4" t="s">
        <v>821</v>
      </c>
      <c r="Y123" s="4" t="s">
        <v>821</v>
      </c>
      <c r="Z123" s="4" t="s">
        <v>839</v>
      </c>
      <c r="AA123" s="4" t="s">
        <v>840</v>
      </c>
      <c r="AB123" s="4" t="s">
        <v>841</v>
      </c>
      <c r="AC123" s="4" t="s">
        <v>842</v>
      </c>
      <c r="AD123" s="4" t="s">
        <v>17</v>
      </c>
      <c r="AE123" s="4" t="s">
        <v>17</v>
      </c>
      <c r="AF123" s="4" t="s">
        <v>19</v>
      </c>
      <c r="AG123" s="4" t="s">
        <v>19</v>
      </c>
      <c r="AH123" s="4" t="s">
        <v>841</v>
      </c>
    </row>
    <row r="124" spans="2:34" ht="15">
      <c r="B124" s="1" t="s">
        <v>153</v>
      </c>
      <c r="C124" s="2">
        <v>43546</v>
      </c>
      <c r="D124" s="1" t="s">
        <v>154</v>
      </c>
      <c r="E124" s="1" t="s">
        <v>843</v>
      </c>
      <c r="F124" s="1" t="s">
        <v>3</v>
      </c>
      <c r="G124" s="1" t="s">
        <v>4</v>
      </c>
      <c r="H124" s="1" t="s">
        <v>786</v>
      </c>
      <c r="I124" s="2">
        <v>43546</v>
      </c>
      <c r="J124" s="3">
        <v>0.41458333333333336</v>
      </c>
      <c r="K124" s="2">
        <v>43550</v>
      </c>
      <c r="L124" s="1" t="s">
        <v>6</v>
      </c>
      <c r="M124" s="1"/>
      <c r="N124" s="1" t="s">
        <v>250</v>
      </c>
      <c r="O124" s="1" t="s">
        <v>251</v>
      </c>
      <c r="P124" s="1" t="s">
        <v>252</v>
      </c>
      <c r="Q124" s="1" t="s">
        <v>4</v>
      </c>
      <c r="R124" s="1" t="s">
        <v>4</v>
      </c>
      <c r="S124" s="1" t="s">
        <v>10</v>
      </c>
      <c r="T124" s="1"/>
      <c r="U124" s="1"/>
      <c r="V124" s="1"/>
      <c r="W124" s="1" t="s">
        <v>27</v>
      </c>
      <c r="X124" s="1" t="s">
        <v>844</v>
      </c>
      <c r="Y124" s="1" t="s">
        <v>844</v>
      </c>
      <c r="Z124" s="1" t="s">
        <v>845</v>
      </c>
      <c r="AA124" s="1" t="s">
        <v>846</v>
      </c>
      <c r="AB124" s="1" t="s">
        <v>847</v>
      </c>
      <c r="AC124" s="1" t="s">
        <v>848</v>
      </c>
      <c r="AD124" s="1" t="s">
        <v>17</v>
      </c>
      <c r="AE124" s="1" t="s">
        <v>849</v>
      </c>
      <c r="AF124" s="1" t="s">
        <v>19</v>
      </c>
      <c r="AG124" s="1" t="s">
        <v>19</v>
      </c>
      <c r="AH124" s="1" t="s">
        <v>847</v>
      </c>
    </row>
    <row r="125" spans="2:34" ht="15">
      <c r="B125" s="4" t="s">
        <v>20</v>
      </c>
      <c r="C125" s="5">
        <v>43549</v>
      </c>
      <c r="D125" s="4" t="s">
        <v>21</v>
      </c>
      <c r="E125" s="4" t="s">
        <v>850</v>
      </c>
      <c r="F125" s="4" t="s">
        <v>3</v>
      </c>
      <c r="G125" s="4" t="s">
        <v>4</v>
      </c>
      <c r="H125" s="4" t="s">
        <v>90</v>
      </c>
      <c r="I125" s="5">
        <v>43546</v>
      </c>
      <c r="J125" s="6">
        <v>0.5529282407407408</v>
      </c>
      <c r="K125" s="5">
        <v>43550</v>
      </c>
      <c r="L125" s="4" t="s">
        <v>6</v>
      </c>
      <c r="M125" s="4"/>
      <c r="N125" s="4" t="s">
        <v>91</v>
      </c>
      <c r="O125" s="4" t="s">
        <v>92</v>
      </c>
      <c r="P125" s="4" t="s">
        <v>575</v>
      </c>
      <c r="Q125" s="4" t="s">
        <v>4</v>
      </c>
      <c r="R125" s="4" t="s">
        <v>4</v>
      </c>
      <c r="S125" s="4" t="s">
        <v>10</v>
      </c>
      <c r="T125" s="4"/>
      <c r="U125" s="4"/>
      <c r="V125" s="4"/>
      <c r="W125" s="4" t="s">
        <v>11</v>
      </c>
      <c r="X125" s="4" t="s">
        <v>851</v>
      </c>
      <c r="Y125" s="4" t="s">
        <v>851</v>
      </c>
      <c r="Z125" s="4" t="s">
        <v>852</v>
      </c>
      <c r="AA125" s="4" t="s">
        <v>853</v>
      </c>
      <c r="AB125" s="4" t="s">
        <v>854</v>
      </c>
      <c r="AC125" s="4" t="s">
        <v>855</v>
      </c>
      <c r="AD125" s="4" t="s">
        <v>17</v>
      </c>
      <c r="AE125" s="4" t="s">
        <v>18</v>
      </c>
      <c r="AF125" s="4" t="s">
        <v>19</v>
      </c>
      <c r="AG125" s="4" t="s">
        <v>19</v>
      </c>
      <c r="AH125" s="4" t="s">
        <v>854</v>
      </c>
    </row>
    <row r="126" spans="2:34" ht="15">
      <c r="B126" s="1" t="s">
        <v>0</v>
      </c>
      <c r="C126" s="2">
        <v>43549</v>
      </c>
      <c r="D126" s="1" t="s">
        <v>1</v>
      </c>
      <c r="E126" s="1" t="s">
        <v>856</v>
      </c>
      <c r="F126" s="1" t="s">
        <v>3</v>
      </c>
      <c r="G126" s="1" t="s">
        <v>4</v>
      </c>
      <c r="H126" s="1" t="s">
        <v>90</v>
      </c>
      <c r="I126" s="2">
        <v>43546</v>
      </c>
      <c r="J126" s="3">
        <v>0.5529282407407408</v>
      </c>
      <c r="K126" s="2">
        <v>43550</v>
      </c>
      <c r="L126" s="1" t="s">
        <v>6</v>
      </c>
      <c r="M126" s="1"/>
      <c r="N126" s="1" t="s">
        <v>91</v>
      </c>
      <c r="O126" s="1" t="s">
        <v>92</v>
      </c>
      <c r="P126" s="1" t="s">
        <v>575</v>
      </c>
      <c r="Q126" s="1" t="s">
        <v>4</v>
      </c>
      <c r="R126" s="1" t="s">
        <v>4</v>
      </c>
      <c r="S126" s="1" t="s">
        <v>10</v>
      </c>
      <c r="T126" s="1"/>
      <c r="U126" s="1"/>
      <c r="V126" s="1"/>
      <c r="W126" s="1" t="s">
        <v>11</v>
      </c>
      <c r="X126" s="1" t="s">
        <v>857</v>
      </c>
      <c r="Y126" s="1" t="s">
        <v>857</v>
      </c>
      <c r="Z126" s="1" t="s">
        <v>852</v>
      </c>
      <c r="AA126" s="1" t="s">
        <v>858</v>
      </c>
      <c r="AB126" s="1" t="s">
        <v>859</v>
      </c>
      <c r="AC126" s="1" t="s">
        <v>860</v>
      </c>
      <c r="AD126" s="1" t="s">
        <v>17</v>
      </c>
      <c r="AE126" s="1" t="s">
        <v>17</v>
      </c>
      <c r="AF126" s="1" t="s">
        <v>19</v>
      </c>
      <c r="AG126" s="1" t="s">
        <v>19</v>
      </c>
      <c r="AH126" s="1" t="s">
        <v>859</v>
      </c>
    </row>
    <row r="127" spans="2:34" ht="15">
      <c r="B127" s="4" t="s">
        <v>0</v>
      </c>
      <c r="C127" s="5">
        <v>43549</v>
      </c>
      <c r="D127" s="4" t="s">
        <v>1</v>
      </c>
      <c r="E127" s="4" t="s">
        <v>861</v>
      </c>
      <c r="F127" s="4" t="s">
        <v>3</v>
      </c>
      <c r="G127" s="4" t="s">
        <v>4</v>
      </c>
      <c r="H127" s="4" t="s">
        <v>119</v>
      </c>
      <c r="I127" s="5">
        <v>43546</v>
      </c>
      <c r="J127" s="6">
        <v>0.6874537037037037</v>
      </c>
      <c r="K127" s="5">
        <v>43550</v>
      </c>
      <c r="L127" s="4" t="s">
        <v>6</v>
      </c>
      <c r="M127" s="4"/>
      <c r="N127" s="4" t="s">
        <v>663</v>
      </c>
      <c r="O127" s="4" t="s">
        <v>664</v>
      </c>
      <c r="P127" s="4" t="s">
        <v>665</v>
      </c>
      <c r="Q127" s="4" t="s">
        <v>4</v>
      </c>
      <c r="R127" s="4" t="s">
        <v>4</v>
      </c>
      <c r="S127" s="4" t="s">
        <v>10</v>
      </c>
      <c r="T127" s="4"/>
      <c r="U127" s="4"/>
      <c r="V127" s="4"/>
      <c r="W127" s="4" t="s">
        <v>27</v>
      </c>
      <c r="X127" s="4" t="s">
        <v>862</v>
      </c>
      <c r="Y127" s="4" t="s">
        <v>862</v>
      </c>
      <c r="Z127" s="4" t="s">
        <v>781</v>
      </c>
      <c r="AA127" s="4" t="s">
        <v>863</v>
      </c>
      <c r="AB127" s="4" t="s">
        <v>864</v>
      </c>
      <c r="AC127" s="4" t="s">
        <v>865</v>
      </c>
      <c r="AD127" s="4" t="s">
        <v>17</v>
      </c>
      <c r="AE127" s="4" t="s">
        <v>866</v>
      </c>
      <c r="AF127" s="4" t="s">
        <v>19</v>
      </c>
      <c r="AG127" s="4" t="s">
        <v>19</v>
      </c>
      <c r="AH127" s="4" t="s">
        <v>864</v>
      </c>
    </row>
    <row r="128" spans="2:34" ht="15">
      <c r="B128" s="1" t="s">
        <v>0</v>
      </c>
      <c r="C128" s="2">
        <v>43549</v>
      </c>
      <c r="D128" s="1" t="s">
        <v>1</v>
      </c>
      <c r="E128" s="1" t="s">
        <v>867</v>
      </c>
      <c r="F128" s="1" t="s">
        <v>3</v>
      </c>
      <c r="G128" s="1" t="s">
        <v>4</v>
      </c>
      <c r="H128" s="1" t="s">
        <v>90</v>
      </c>
      <c r="I128" s="2">
        <v>43546</v>
      </c>
      <c r="J128" s="3">
        <v>0.6936921296296297</v>
      </c>
      <c r="K128" s="2">
        <v>43550</v>
      </c>
      <c r="L128" s="1" t="s">
        <v>6</v>
      </c>
      <c r="M128" s="1"/>
      <c r="N128" s="1" t="s">
        <v>663</v>
      </c>
      <c r="O128" s="1" t="s">
        <v>664</v>
      </c>
      <c r="P128" s="1" t="s">
        <v>665</v>
      </c>
      <c r="Q128" s="1" t="s">
        <v>4</v>
      </c>
      <c r="R128" s="1" t="s">
        <v>4</v>
      </c>
      <c r="S128" s="1" t="s">
        <v>10</v>
      </c>
      <c r="T128" s="1"/>
      <c r="U128" s="1"/>
      <c r="V128" s="1"/>
      <c r="W128" s="1" t="s">
        <v>27</v>
      </c>
      <c r="X128" s="1" t="s">
        <v>868</v>
      </c>
      <c r="Y128" s="1" t="s">
        <v>868</v>
      </c>
      <c r="Z128" s="1" t="s">
        <v>869</v>
      </c>
      <c r="AA128" s="1" t="s">
        <v>870</v>
      </c>
      <c r="AB128" s="1" t="s">
        <v>871</v>
      </c>
      <c r="AC128" s="1" t="s">
        <v>872</v>
      </c>
      <c r="AD128" s="1" t="s">
        <v>17</v>
      </c>
      <c r="AE128" s="1" t="s">
        <v>873</v>
      </c>
      <c r="AF128" s="1" t="s">
        <v>19</v>
      </c>
      <c r="AG128" s="1" t="s">
        <v>19</v>
      </c>
      <c r="AH128" s="1" t="s">
        <v>871</v>
      </c>
    </row>
    <row r="129" spans="2:34" ht="15">
      <c r="B129" s="4" t="s">
        <v>20</v>
      </c>
      <c r="C129" s="5">
        <v>43550</v>
      </c>
      <c r="D129" s="4" t="s">
        <v>21</v>
      </c>
      <c r="E129" s="4" t="s">
        <v>874</v>
      </c>
      <c r="F129" s="4" t="s">
        <v>3</v>
      </c>
      <c r="G129" s="4" t="s">
        <v>4</v>
      </c>
      <c r="H129" s="4" t="s">
        <v>875</v>
      </c>
      <c r="I129" s="5">
        <v>43549</v>
      </c>
      <c r="J129" s="6">
        <v>0.475</v>
      </c>
      <c r="K129" s="5">
        <v>43551</v>
      </c>
      <c r="L129" s="4" t="s">
        <v>6</v>
      </c>
      <c r="M129" s="4"/>
      <c r="N129" s="4" t="s">
        <v>876</v>
      </c>
      <c r="O129" s="4" t="s">
        <v>877</v>
      </c>
      <c r="P129" s="4" t="s">
        <v>878</v>
      </c>
      <c r="Q129" s="4" t="s">
        <v>4</v>
      </c>
      <c r="R129" s="4" t="s">
        <v>4</v>
      </c>
      <c r="S129" s="4" t="s">
        <v>10</v>
      </c>
      <c r="T129" s="4"/>
      <c r="U129" s="4"/>
      <c r="V129" s="4"/>
      <c r="W129" s="4" t="s">
        <v>11</v>
      </c>
      <c r="X129" s="4" t="s">
        <v>879</v>
      </c>
      <c r="Y129" s="4" t="s">
        <v>879</v>
      </c>
      <c r="Z129" s="4" t="s">
        <v>880</v>
      </c>
      <c r="AA129" s="4" t="s">
        <v>881</v>
      </c>
      <c r="AB129" s="4" t="s">
        <v>882</v>
      </c>
      <c r="AC129" s="4" t="s">
        <v>883</v>
      </c>
      <c r="AD129" s="4" t="s">
        <v>17</v>
      </c>
      <c r="AE129" s="4" t="s">
        <v>18</v>
      </c>
      <c r="AF129" s="4" t="s">
        <v>19</v>
      </c>
      <c r="AG129" s="4" t="s">
        <v>19</v>
      </c>
      <c r="AH129" s="4" t="s">
        <v>882</v>
      </c>
    </row>
    <row r="130" spans="2:34" ht="15">
      <c r="B130" s="1" t="s">
        <v>20</v>
      </c>
      <c r="C130" s="2">
        <v>43550</v>
      </c>
      <c r="D130" s="1" t="s">
        <v>21</v>
      </c>
      <c r="E130" s="1" t="s">
        <v>884</v>
      </c>
      <c r="F130" s="1" t="s">
        <v>3</v>
      </c>
      <c r="G130" s="1" t="s">
        <v>4</v>
      </c>
      <c r="H130" s="1" t="s">
        <v>119</v>
      </c>
      <c r="I130" s="2">
        <v>43549</v>
      </c>
      <c r="J130" s="3">
        <v>0.6078472222222222</v>
      </c>
      <c r="K130" s="2">
        <v>43551</v>
      </c>
      <c r="L130" s="1" t="s">
        <v>6</v>
      </c>
      <c r="M130" s="1"/>
      <c r="N130" s="1" t="s">
        <v>885</v>
      </c>
      <c r="O130" s="1" t="s">
        <v>886</v>
      </c>
      <c r="P130" s="1" t="s">
        <v>887</v>
      </c>
      <c r="Q130" s="1" t="s">
        <v>4</v>
      </c>
      <c r="R130" s="1" t="s">
        <v>4</v>
      </c>
      <c r="S130" s="1" t="s">
        <v>10</v>
      </c>
      <c r="T130" s="1"/>
      <c r="U130" s="1"/>
      <c r="V130" s="1"/>
      <c r="W130" s="1" t="s">
        <v>27</v>
      </c>
      <c r="X130" s="1" t="s">
        <v>888</v>
      </c>
      <c r="Y130" s="1" t="s">
        <v>888</v>
      </c>
      <c r="Z130" s="1" t="s">
        <v>757</v>
      </c>
      <c r="AA130" s="1" t="s">
        <v>889</v>
      </c>
      <c r="AB130" s="1" t="s">
        <v>890</v>
      </c>
      <c r="AC130" s="1" t="s">
        <v>891</v>
      </c>
      <c r="AD130" s="1" t="s">
        <v>17</v>
      </c>
      <c r="AE130" s="1" t="s">
        <v>892</v>
      </c>
      <c r="AF130" s="1" t="s">
        <v>19</v>
      </c>
      <c r="AG130" s="1" t="s">
        <v>19</v>
      </c>
      <c r="AH130" s="1" t="s">
        <v>890</v>
      </c>
    </row>
    <row r="131" spans="2:34" ht="15">
      <c r="B131" s="4" t="s">
        <v>20</v>
      </c>
      <c r="C131" s="5">
        <v>43550</v>
      </c>
      <c r="D131" s="4" t="s">
        <v>21</v>
      </c>
      <c r="E131" s="4" t="s">
        <v>893</v>
      </c>
      <c r="F131" s="4" t="s">
        <v>3</v>
      </c>
      <c r="G131" s="4" t="s">
        <v>4</v>
      </c>
      <c r="H131" s="4" t="s">
        <v>894</v>
      </c>
      <c r="I131" s="5">
        <v>43549</v>
      </c>
      <c r="J131" s="6">
        <v>0.5125</v>
      </c>
      <c r="K131" s="5">
        <v>43565</v>
      </c>
      <c r="L131" s="4" t="s">
        <v>6</v>
      </c>
      <c r="M131" s="4"/>
      <c r="N131" s="4"/>
      <c r="O131" s="4" t="s">
        <v>895</v>
      </c>
      <c r="P131" s="4" t="s">
        <v>896</v>
      </c>
      <c r="Q131" s="4" t="s">
        <v>4</v>
      </c>
      <c r="R131" s="4" t="s">
        <v>85</v>
      </c>
      <c r="S131" s="4" t="s">
        <v>85</v>
      </c>
      <c r="T131" s="4"/>
      <c r="U131" s="4"/>
      <c r="V131" s="4"/>
      <c r="W131" s="4" t="s">
        <v>27</v>
      </c>
      <c r="X131" s="4" t="s">
        <v>897</v>
      </c>
      <c r="Y131" s="4" t="s">
        <v>897</v>
      </c>
      <c r="Z131" s="4" t="s">
        <v>898</v>
      </c>
      <c r="AA131" s="4" t="s">
        <v>899</v>
      </c>
      <c r="AB131" s="4" t="s">
        <v>899</v>
      </c>
      <c r="AC131" s="4" t="s">
        <v>17</v>
      </c>
      <c r="AD131" s="4" t="s">
        <v>17</v>
      </c>
      <c r="AE131" s="4" t="s">
        <v>17</v>
      </c>
      <c r="AF131" s="4" t="s">
        <v>19</v>
      </c>
      <c r="AG131" s="4" t="s">
        <v>19</v>
      </c>
      <c r="AH131" s="4" t="s">
        <v>899</v>
      </c>
    </row>
    <row r="132" spans="2:34" ht="15">
      <c r="B132" s="1" t="s">
        <v>0</v>
      </c>
      <c r="C132" s="2">
        <v>43550</v>
      </c>
      <c r="D132" s="1" t="s">
        <v>1</v>
      </c>
      <c r="E132" s="1" t="s">
        <v>900</v>
      </c>
      <c r="F132" s="1" t="s">
        <v>3</v>
      </c>
      <c r="G132" s="1" t="s">
        <v>4</v>
      </c>
      <c r="H132" s="1" t="s">
        <v>119</v>
      </c>
      <c r="I132" s="2">
        <v>43549</v>
      </c>
      <c r="J132" s="3">
        <v>0.6078472222222222</v>
      </c>
      <c r="K132" s="2">
        <v>43551</v>
      </c>
      <c r="L132" s="1" t="s">
        <v>6</v>
      </c>
      <c r="M132" s="1"/>
      <c r="N132" s="1" t="s">
        <v>885</v>
      </c>
      <c r="O132" s="1" t="s">
        <v>886</v>
      </c>
      <c r="P132" s="1" t="s">
        <v>887</v>
      </c>
      <c r="Q132" s="1" t="s">
        <v>4</v>
      </c>
      <c r="R132" s="1" t="s">
        <v>4</v>
      </c>
      <c r="S132" s="1" t="s">
        <v>10</v>
      </c>
      <c r="T132" s="1"/>
      <c r="U132" s="1"/>
      <c r="V132" s="1"/>
      <c r="W132" s="1" t="s">
        <v>27</v>
      </c>
      <c r="X132" s="1" t="s">
        <v>901</v>
      </c>
      <c r="Y132" s="1" t="s">
        <v>901</v>
      </c>
      <c r="Z132" s="1" t="s">
        <v>757</v>
      </c>
      <c r="AA132" s="1" t="s">
        <v>902</v>
      </c>
      <c r="AB132" s="1" t="s">
        <v>903</v>
      </c>
      <c r="AC132" s="1" t="s">
        <v>904</v>
      </c>
      <c r="AD132" s="1" t="s">
        <v>17</v>
      </c>
      <c r="AE132" s="1" t="s">
        <v>905</v>
      </c>
      <c r="AF132" s="1" t="s">
        <v>19</v>
      </c>
      <c r="AG132" s="1" t="s">
        <v>19</v>
      </c>
      <c r="AH132" s="1" t="s">
        <v>903</v>
      </c>
    </row>
    <row r="133" spans="2:34" ht="15">
      <c r="B133" s="4" t="s">
        <v>0</v>
      </c>
      <c r="C133" s="5">
        <v>43550</v>
      </c>
      <c r="D133" s="4" t="s">
        <v>1</v>
      </c>
      <c r="E133" s="4" t="s">
        <v>906</v>
      </c>
      <c r="F133" s="4" t="s">
        <v>3</v>
      </c>
      <c r="G133" s="4" t="s">
        <v>4</v>
      </c>
      <c r="H133" s="4" t="s">
        <v>119</v>
      </c>
      <c r="I133" s="5">
        <v>43549</v>
      </c>
      <c r="J133" s="6">
        <v>0.6909953703703704</v>
      </c>
      <c r="K133" s="5">
        <v>43551</v>
      </c>
      <c r="L133" s="4" t="s">
        <v>6</v>
      </c>
      <c r="M133" s="4"/>
      <c r="N133" s="4" t="s">
        <v>663</v>
      </c>
      <c r="O133" s="4" t="s">
        <v>664</v>
      </c>
      <c r="P133" s="4" t="s">
        <v>665</v>
      </c>
      <c r="Q133" s="4" t="s">
        <v>4</v>
      </c>
      <c r="R133" s="4" t="s">
        <v>4</v>
      </c>
      <c r="S133" s="4" t="s">
        <v>10</v>
      </c>
      <c r="T133" s="4"/>
      <c r="U133" s="4"/>
      <c r="V133" s="4"/>
      <c r="W133" s="4" t="s">
        <v>27</v>
      </c>
      <c r="X133" s="4" t="s">
        <v>907</v>
      </c>
      <c r="Y133" s="4" t="s">
        <v>907</v>
      </c>
      <c r="Z133" s="4" t="s">
        <v>908</v>
      </c>
      <c r="AA133" s="4" t="s">
        <v>909</v>
      </c>
      <c r="AB133" s="4" t="s">
        <v>910</v>
      </c>
      <c r="AC133" s="4" t="s">
        <v>911</v>
      </c>
      <c r="AD133" s="4" t="s">
        <v>17</v>
      </c>
      <c r="AE133" s="4" t="s">
        <v>912</v>
      </c>
      <c r="AF133" s="4" t="s">
        <v>19</v>
      </c>
      <c r="AG133" s="4" t="s">
        <v>19</v>
      </c>
      <c r="AH133" s="4" t="s">
        <v>910</v>
      </c>
    </row>
    <row r="134" spans="2:34" ht="15">
      <c r="B134" s="1" t="s">
        <v>20</v>
      </c>
      <c r="C134" s="2">
        <v>43551</v>
      </c>
      <c r="D134" s="1" t="s">
        <v>21</v>
      </c>
      <c r="E134" s="1" t="s">
        <v>913</v>
      </c>
      <c r="F134" s="1" t="s">
        <v>3</v>
      </c>
      <c r="G134" s="1" t="s">
        <v>4</v>
      </c>
      <c r="H134" s="1" t="s">
        <v>914</v>
      </c>
      <c r="I134" s="2">
        <v>43551</v>
      </c>
      <c r="J134" s="3">
        <v>0.38358796296296294</v>
      </c>
      <c r="K134" s="2">
        <v>43557</v>
      </c>
      <c r="L134" s="1" t="s">
        <v>6</v>
      </c>
      <c r="M134" s="1"/>
      <c r="N134" s="1"/>
      <c r="O134" s="1" t="s">
        <v>915</v>
      </c>
      <c r="P134" s="1" t="s">
        <v>916</v>
      </c>
      <c r="Q134" s="1" t="s">
        <v>4</v>
      </c>
      <c r="R134" s="1" t="s">
        <v>85</v>
      </c>
      <c r="S134" s="1" t="s">
        <v>85</v>
      </c>
      <c r="T134" s="1"/>
      <c r="U134" s="1"/>
      <c r="V134" s="1"/>
      <c r="W134" s="1" t="s">
        <v>27</v>
      </c>
      <c r="X134" s="1" t="s">
        <v>917</v>
      </c>
      <c r="Y134" s="1" t="s">
        <v>917</v>
      </c>
      <c r="Z134" s="1" t="s">
        <v>918</v>
      </c>
      <c r="AA134" s="1" t="s">
        <v>919</v>
      </c>
      <c r="AB134" s="1" t="s">
        <v>920</v>
      </c>
      <c r="AC134" s="1" t="s">
        <v>921</v>
      </c>
      <c r="AD134" s="1" t="s">
        <v>17</v>
      </c>
      <c r="AE134" s="1" t="s">
        <v>18</v>
      </c>
      <c r="AF134" s="1" t="s">
        <v>19</v>
      </c>
      <c r="AG134" s="1" t="s">
        <v>19</v>
      </c>
      <c r="AH134" s="1" t="s">
        <v>920</v>
      </c>
    </row>
    <row r="135" spans="2:34" ht="15">
      <c r="B135" s="4" t="s">
        <v>0</v>
      </c>
      <c r="C135" s="5">
        <v>43551</v>
      </c>
      <c r="D135" s="4" t="s">
        <v>1</v>
      </c>
      <c r="E135" s="4" t="s">
        <v>922</v>
      </c>
      <c r="F135" s="4" t="s">
        <v>3</v>
      </c>
      <c r="G135" s="4" t="s">
        <v>4</v>
      </c>
      <c r="H135" s="4" t="s">
        <v>119</v>
      </c>
      <c r="I135" s="5">
        <v>43550</v>
      </c>
      <c r="J135" s="6">
        <v>0.5016319444444445</v>
      </c>
      <c r="K135" s="5">
        <v>43552</v>
      </c>
      <c r="L135" s="4" t="s">
        <v>6</v>
      </c>
      <c r="M135" s="4"/>
      <c r="N135" s="4" t="s">
        <v>663</v>
      </c>
      <c r="O135" s="4" t="s">
        <v>664</v>
      </c>
      <c r="P135" s="4" t="s">
        <v>665</v>
      </c>
      <c r="Q135" s="4" t="s">
        <v>4</v>
      </c>
      <c r="R135" s="4" t="s">
        <v>4</v>
      </c>
      <c r="S135" s="4" t="s">
        <v>10</v>
      </c>
      <c r="T135" s="4"/>
      <c r="U135" s="4"/>
      <c r="V135" s="4"/>
      <c r="W135" s="4" t="s">
        <v>27</v>
      </c>
      <c r="X135" s="4" t="s">
        <v>923</v>
      </c>
      <c r="Y135" s="4" t="s">
        <v>923</v>
      </c>
      <c r="Z135" s="4" t="s">
        <v>924</v>
      </c>
      <c r="AA135" s="4" t="s">
        <v>925</v>
      </c>
      <c r="AB135" s="4" t="s">
        <v>926</v>
      </c>
      <c r="AC135" s="4" t="s">
        <v>927</v>
      </c>
      <c r="AD135" s="4" t="s">
        <v>17</v>
      </c>
      <c r="AE135" s="4" t="s">
        <v>928</v>
      </c>
      <c r="AF135" s="4" t="s">
        <v>19</v>
      </c>
      <c r="AG135" s="4" t="s">
        <v>19</v>
      </c>
      <c r="AH135" s="4" t="s">
        <v>926</v>
      </c>
    </row>
    <row r="136" spans="2:34" ht="15">
      <c r="B136" s="1" t="s">
        <v>0</v>
      </c>
      <c r="C136" s="2">
        <v>43552</v>
      </c>
      <c r="D136" s="1" t="s">
        <v>1</v>
      </c>
      <c r="E136" s="1" t="s">
        <v>929</v>
      </c>
      <c r="F136" s="1" t="s">
        <v>3</v>
      </c>
      <c r="G136" s="1" t="s">
        <v>4</v>
      </c>
      <c r="H136" s="1" t="s">
        <v>119</v>
      </c>
      <c r="I136" s="2">
        <v>43551</v>
      </c>
      <c r="J136" s="3">
        <v>0.6774652777777778</v>
      </c>
      <c r="K136" s="2">
        <v>43553</v>
      </c>
      <c r="L136" s="1" t="s">
        <v>6</v>
      </c>
      <c r="M136" s="1"/>
      <c r="N136" s="1" t="s">
        <v>663</v>
      </c>
      <c r="O136" s="1" t="s">
        <v>664</v>
      </c>
      <c r="P136" s="1" t="s">
        <v>665</v>
      </c>
      <c r="Q136" s="1" t="s">
        <v>4</v>
      </c>
      <c r="R136" s="1" t="s">
        <v>4</v>
      </c>
      <c r="S136" s="1" t="s">
        <v>10</v>
      </c>
      <c r="T136" s="1"/>
      <c r="U136" s="1"/>
      <c r="V136" s="1"/>
      <c r="W136" s="1" t="s">
        <v>27</v>
      </c>
      <c r="X136" s="1" t="s">
        <v>930</v>
      </c>
      <c r="Y136" s="1" t="s">
        <v>930</v>
      </c>
      <c r="Z136" s="1" t="s">
        <v>931</v>
      </c>
      <c r="AA136" s="1" t="s">
        <v>932</v>
      </c>
      <c r="AB136" s="1" t="s">
        <v>933</v>
      </c>
      <c r="AC136" s="1" t="s">
        <v>934</v>
      </c>
      <c r="AD136" s="1" t="s">
        <v>17</v>
      </c>
      <c r="AE136" s="1" t="s">
        <v>935</v>
      </c>
      <c r="AF136" s="1" t="s">
        <v>19</v>
      </c>
      <c r="AG136" s="1" t="s">
        <v>19</v>
      </c>
      <c r="AH136" s="1" t="s">
        <v>933</v>
      </c>
    </row>
    <row r="137" spans="2:34" ht="15">
      <c r="B137" s="4" t="s">
        <v>0</v>
      </c>
      <c r="C137" s="5">
        <v>43552</v>
      </c>
      <c r="D137" s="4" t="s">
        <v>1</v>
      </c>
      <c r="E137" s="4" t="s">
        <v>936</v>
      </c>
      <c r="F137" s="4" t="s">
        <v>3</v>
      </c>
      <c r="G137" s="4" t="s">
        <v>4</v>
      </c>
      <c r="H137" s="4" t="s">
        <v>119</v>
      </c>
      <c r="I137" s="5">
        <v>43552</v>
      </c>
      <c r="J137" s="6">
        <v>0.3500462962962963</v>
      </c>
      <c r="K137" s="5">
        <v>43556</v>
      </c>
      <c r="L137" s="4" t="s">
        <v>6</v>
      </c>
      <c r="M137" s="4"/>
      <c r="N137" s="4" t="s">
        <v>663</v>
      </c>
      <c r="O137" s="4" t="s">
        <v>664</v>
      </c>
      <c r="P137" s="4" t="s">
        <v>665</v>
      </c>
      <c r="Q137" s="4" t="s">
        <v>4</v>
      </c>
      <c r="R137" s="4" t="s">
        <v>4</v>
      </c>
      <c r="S137" s="4" t="s">
        <v>10</v>
      </c>
      <c r="T137" s="4"/>
      <c r="U137" s="4"/>
      <c r="V137" s="4"/>
      <c r="W137" s="4" t="s">
        <v>27</v>
      </c>
      <c r="X137" s="4" t="s">
        <v>937</v>
      </c>
      <c r="Y137" s="4" t="s">
        <v>937</v>
      </c>
      <c r="Z137" s="4" t="s">
        <v>938</v>
      </c>
      <c r="AA137" s="4" t="s">
        <v>939</v>
      </c>
      <c r="AB137" s="4" t="s">
        <v>940</v>
      </c>
      <c r="AC137" s="4" t="s">
        <v>941</v>
      </c>
      <c r="AD137" s="4" t="s">
        <v>17</v>
      </c>
      <c r="AE137" s="4" t="s">
        <v>942</v>
      </c>
      <c r="AF137" s="4" t="s">
        <v>19</v>
      </c>
      <c r="AG137" s="4" t="s">
        <v>19</v>
      </c>
      <c r="AH137" s="4" t="s">
        <v>940</v>
      </c>
    </row>
    <row r="138" spans="2:34" ht="15">
      <c r="B138" s="1" t="s">
        <v>0</v>
      </c>
      <c r="C138" s="2">
        <v>43552</v>
      </c>
      <c r="D138" s="1" t="s">
        <v>1</v>
      </c>
      <c r="E138" s="1" t="s">
        <v>943</v>
      </c>
      <c r="F138" s="1" t="s">
        <v>3</v>
      </c>
      <c r="G138" s="1" t="s">
        <v>4</v>
      </c>
      <c r="H138" s="1" t="s">
        <v>90</v>
      </c>
      <c r="I138" s="2">
        <v>43552</v>
      </c>
      <c r="J138" s="3">
        <v>0.4295601851851852</v>
      </c>
      <c r="K138" s="2">
        <v>43556</v>
      </c>
      <c r="L138" s="1" t="s">
        <v>6</v>
      </c>
      <c r="M138" s="1"/>
      <c r="N138" s="1" t="s">
        <v>663</v>
      </c>
      <c r="O138" s="1" t="s">
        <v>664</v>
      </c>
      <c r="P138" s="1" t="s">
        <v>665</v>
      </c>
      <c r="Q138" s="1" t="s">
        <v>4</v>
      </c>
      <c r="R138" s="1" t="s">
        <v>4</v>
      </c>
      <c r="S138" s="1" t="s">
        <v>10</v>
      </c>
      <c r="T138" s="1"/>
      <c r="U138" s="1"/>
      <c r="V138" s="1"/>
      <c r="W138" s="1" t="s">
        <v>27</v>
      </c>
      <c r="X138" s="1" t="s">
        <v>944</v>
      </c>
      <c r="Y138" s="1" t="s">
        <v>944</v>
      </c>
      <c r="Z138" s="1" t="s">
        <v>781</v>
      </c>
      <c r="AA138" s="1" t="s">
        <v>945</v>
      </c>
      <c r="AB138" s="1" t="s">
        <v>946</v>
      </c>
      <c r="AC138" s="1" t="s">
        <v>947</v>
      </c>
      <c r="AD138" s="1" t="s">
        <v>17</v>
      </c>
      <c r="AE138" s="1" t="s">
        <v>948</v>
      </c>
      <c r="AF138" s="1" t="s">
        <v>19</v>
      </c>
      <c r="AG138" s="1" t="s">
        <v>19</v>
      </c>
      <c r="AH138" s="1" t="s">
        <v>946</v>
      </c>
    </row>
    <row r="139" spans="2:34" ht="15">
      <c r="B139" s="4" t="s">
        <v>20</v>
      </c>
      <c r="C139" s="5">
        <v>43553</v>
      </c>
      <c r="D139" s="4" t="s">
        <v>21</v>
      </c>
      <c r="E139" s="4" t="s">
        <v>949</v>
      </c>
      <c r="F139" s="4" t="s">
        <v>3</v>
      </c>
      <c r="G139" s="4" t="s">
        <v>4</v>
      </c>
      <c r="H139" s="4" t="s">
        <v>119</v>
      </c>
      <c r="I139" s="5">
        <v>43552</v>
      </c>
      <c r="J139" s="6">
        <v>0.6977662037037037</v>
      </c>
      <c r="K139" s="5">
        <v>43556</v>
      </c>
      <c r="L139" s="4" t="s">
        <v>6</v>
      </c>
      <c r="M139" s="4"/>
      <c r="N139" s="4" t="s">
        <v>950</v>
      </c>
      <c r="O139" s="4" t="s">
        <v>951</v>
      </c>
      <c r="P139" s="4" t="s">
        <v>952</v>
      </c>
      <c r="Q139" s="4" t="s">
        <v>4</v>
      </c>
      <c r="R139" s="4" t="s">
        <v>4</v>
      </c>
      <c r="S139" s="4" t="s">
        <v>10</v>
      </c>
      <c r="T139" s="4"/>
      <c r="U139" s="4"/>
      <c r="V139" s="4"/>
      <c r="W139" s="4" t="s">
        <v>27</v>
      </c>
      <c r="X139" s="4" t="s">
        <v>953</v>
      </c>
      <c r="Y139" s="4" t="s">
        <v>953</v>
      </c>
      <c r="Z139" s="4" t="s">
        <v>954</v>
      </c>
      <c r="AA139" s="4" t="s">
        <v>955</v>
      </c>
      <c r="AB139" s="4" t="s">
        <v>956</v>
      </c>
      <c r="AC139" s="4" t="s">
        <v>957</v>
      </c>
      <c r="AD139" s="4" t="s">
        <v>17</v>
      </c>
      <c r="AE139" s="4" t="s">
        <v>18</v>
      </c>
      <c r="AF139" s="4" t="s">
        <v>19</v>
      </c>
      <c r="AG139" s="4" t="s">
        <v>19</v>
      </c>
      <c r="AH139" s="4" t="s">
        <v>956</v>
      </c>
    </row>
    <row r="140" spans="2:34" ht="15">
      <c r="B140" s="1" t="s">
        <v>0</v>
      </c>
      <c r="C140" s="2">
        <v>43553</v>
      </c>
      <c r="D140" s="1" t="s">
        <v>1</v>
      </c>
      <c r="E140" s="1" t="s">
        <v>958</v>
      </c>
      <c r="F140" s="1" t="s">
        <v>3</v>
      </c>
      <c r="G140" s="1" t="s">
        <v>4</v>
      </c>
      <c r="H140" s="1" t="s">
        <v>119</v>
      </c>
      <c r="I140" s="2">
        <v>43552</v>
      </c>
      <c r="J140" s="3">
        <v>0.6977662037037037</v>
      </c>
      <c r="K140" s="2">
        <v>43556</v>
      </c>
      <c r="L140" s="1" t="s">
        <v>6</v>
      </c>
      <c r="M140" s="1"/>
      <c r="N140" s="1" t="s">
        <v>950</v>
      </c>
      <c r="O140" s="1" t="s">
        <v>951</v>
      </c>
      <c r="P140" s="1" t="s">
        <v>952</v>
      </c>
      <c r="Q140" s="1" t="s">
        <v>4</v>
      </c>
      <c r="R140" s="1" t="s">
        <v>4</v>
      </c>
      <c r="S140" s="1" t="s">
        <v>10</v>
      </c>
      <c r="T140" s="1"/>
      <c r="U140" s="1"/>
      <c r="V140" s="1"/>
      <c r="W140" s="1" t="s">
        <v>27</v>
      </c>
      <c r="X140" s="1" t="s">
        <v>959</v>
      </c>
      <c r="Y140" s="1" t="s">
        <v>959</v>
      </c>
      <c r="Z140" s="1" t="s">
        <v>954</v>
      </c>
      <c r="AA140" s="1" t="s">
        <v>960</v>
      </c>
      <c r="AB140" s="1" t="s">
        <v>961</v>
      </c>
      <c r="AC140" s="1" t="s">
        <v>962</v>
      </c>
      <c r="AD140" s="1" t="s">
        <v>17</v>
      </c>
      <c r="AE140" s="1" t="s">
        <v>18</v>
      </c>
      <c r="AF140" s="1" t="s">
        <v>19</v>
      </c>
      <c r="AG140" s="1" t="s">
        <v>19</v>
      </c>
      <c r="AH140" s="1" t="s">
        <v>961</v>
      </c>
    </row>
    <row r="141" spans="2:34" ht="15">
      <c r="B141" s="4" t="s">
        <v>20</v>
      </c>
      <c r="C141" s="5">
        <v>43556</v>
      </c>
      <c r="D141" s="4" t="s">
        <v>21</v>
      </c>
      <c r="E141" s="4" t="s">
        <v>963</v>
      </c>
      <c r="F141" s="4" t="s">
        <v>3</v>
      </c>
      <c r="G141" s="4" t="s">
        <v>4</v>
      </c>
      <c r="H141" s="4" t="s">
        <v>90</v>
      </c>
      <c r="I141" s="5">
        <v>43553</v>
      </c>
      <c r="J141" s="6">
        <v>0.6915856481481482</v>
      </c>
      <c r="K141" s="5">
        <v>43557</v>
      </c>
      <c r="L141" s="4" t="s">
        <v>6</v>
      </c>
      <c r="M141" s="4"/>
      <c r="N141" s="4" t="s">
        <v>91</v>
      </c>
      <c r="O141" s="4" t="s">
        <v>92</v>
      </c>
      <c r="P141" s="4" t="s">
        <v>575</v>
      </c>
      <c r="Q141" s="4" t="s">
        <v>4</v>
      </c>
      <c r="R141" s="4" t="s">
        <v>4</v>
      </c>
      <c r="S141" s="4" t="s">
        <v>10</v>
      </c>
      <c r="T141" s="4"/>
      <c r="U141" s="4"/>
      <c r="V141" s="4"/>
      <c r="W141" s="4" t="s">
        <v>11</v>
      </c>
      <c r="X141" s="4" t="s">
        <v>964</v>
      </c>
      <c r="Y141" s="4" t="s">
        <v>964</v>
      </c>
      <c r="Z141" s="4" t="s">
        <v>965</v>
      </c>
      <c r="AA141" s="4" t="s">
        <v>966</v>
      </c>
      <c r="AB141" s="4" t="s">
        <v>967</v>
      </c>
      <c r="AC141" s="4" t="s">
        <v>968</v>
      </c>
      <c r="AD141" s="4" t="s">
        <v>17</v>
      </c>
      <c r="AE141" s="4" t="s">
        <v>17</v>
      </c>
      <c r="AF141" s="4" t="s">
        <v>19</v>
      </c>
      <c r="AG141" s="4" t="s">
        <v>19</v>
      </c>
      <c r="AH141" s="4" t="s">
        <v>967</v>
      </c>
    </row>
    <row r="142" spans="2:34" ht="15">
      <c r="B142" s="11" t="s">
        <v>0</v>
      </c>
      <c r="C142" s="12">
        <v>43556</v>
      </c>
      <c r="D142" s="11" t="s">
        <v>1</v>
      </c>
      <c r="E142" s="11" t="s">
        <v>969</v>
      </c>
      <c r="F142" s="11" t="s">
        <v>3</v>
      </c>
      <c r="G142" s="11" t="s">
        <v>4</v>
      </c>
      <c r="H142" s="11" t="s">
        <v>90</v>
      </c>
      <c r="I142" s="12">
        <v>43553</v>
      </c>
      <c r="J142" s="13">
        <v>0.6915856481481482</v>
      </c>
      <c r="K142" s="12">
        <v>43557</v>
      </c>
      <c r="L142" s="11" t="s">
        <v>6</v>
      </c>
      <c r="M142" s="11"/>
      <c r="N142" s="11" t="s">
        <v>91</v>
      </c>
      <c r="O142" s="11" t="s">
        <v>92</v>
      </c>
      <c r="P142" s="11" t="s">
        <v>575</v>
      </c>
      <c r="Q142" s="11" t="s">
        <v>4</v>
      </c>
      <c r="R142" s="11" t="s">
        <v>4</v>
      </c>
      <c r="S142" s="11" t="s">
        <v>10</v>
      </c>
      <c r="T142" s="11"/>
      <c r="U142" s="11"/>
      <c r="V142" s="11"/>
      <c r="W142" s="11" t="s">
        <v>11</v>
      </c>
      <c r="X142" s="11" t="s">
        <v>970</v>
      </c>
      <c r="Y142" s="11" t="s">
        <v>970</v>
      </c>
      <c r="Z142" s="11" t="s">
        <v>965</v>
      </c>
      <c r="AA142" s="11" t="s">
        <v>971</v>
      </c>
      <c r="AB142" s="11" t="s">
        <v>972</v>
      </c>
      <c r="AC142" s="11" t="s">
        <v>973</v>
      </c>
      <c r="AD142" s="11" t="s">
        <v>17</v>
      </c>
      <c r="AE142" s="11" t="s">
        <v>17</v>
      </c>
      <c r="AF142" s="11" t="s">
        <v>19</v>
      </c>
      <c r="AG142" s="11" t="s">
        <v>19</v>
      </c>
      <c r="AH142" s="11" t="s">
        <v>972</v>
      </c>
    </row>
    <row r="143" spans="2:34" ht="15">
      <c r="B143" s="1" t="s">
        <v>20</v>
      </c>
      <c r="C143" s="2">
        <v>43556</v>
      </c>
      <c r="D143" s="1" t="s">
        <v>21</v>
      </c>
      <c r="E143" s="1" t="s">
        <v>963</v>
      </c>
      <c r="F143" s="1" t="s">
        <v>3</v>
      </c>
      <c r="G143" s="1" t="s">
        <v>4</v>
      </c>
      <c r="H143" s="1" t="s">
        <v>90</v>
      </c>
      <c r="I143" s="2">
        <v>43553</v>
      </c>
      <c r="J143" s="3">
        <v>0.6915856481481482</v>
      </c>
      <c r="K143" s="2">
        <v>43557</v>
      </c>
      <c r="L143" s="1" t="s">
        <v>6</v>
      </c>
      <c r="M143" s="1"/>
      <c r="N143" s="1" t="s">
        <v>91</v>
      </c>
      <c r="O143" s="1" t="s">
        <v>92</v>
      </c>
      <c r="P143" s="1" t="s">
        <v>575</v>
      </c>
      <c r="Q143" s="1" t="s">
        <v>4</v>
      </c>
      <c r="R143" s="1" t="s">
        <v>4</v>
      </c>
      <c r="S143" s="1" t="s">
        <v>10</v>
      </c>
      <c r="T143" s="1"/>
      <c r="U143" s="1"/>
      <c r="V143" s="1"/>
      <c r="W143" s="1" t="s">
        <v>11</v>
      </c>
      <c r="X143" s="1" t="s">
        <v>964</v>
      </c>
      <c r="Y143" s="1" t="s">
        <v>964</v>
      </c>
      <c r="Z143" s="1" t="s">
        <v>965</v>
      </c>
      <c r="AA143" s="1" t="s">
        <v>966</v>
      </c>
      <c r="AB143" s="1" t="s">
        <v>967</v>
      </c>
      <c r="AC143" s="1" t="s">
        <v>968</v>
      </c>
      <c r="AD143" s="1" t="s">
        <v>17</v>
      </c>
      <c r="AE143" s="1" t="s">
        <v>17</v>
      </c>
      <c r="AF143" s="1" t="s">
        <v>19</v>
      </c>
      <c r="AG143" s="1" t="s">
        <v>19</v>
      </c>
      <c r="AH143" s="1" t="s">
        <v>967</v>
      </c>
    </row>
    <row r="144" spans="2:34" ht="15">
      <c r="B144" s="4" t="s">
        <v>0</v>
      </c>
      <c r="C144" s="5">
        <v>43556</v>
      </c>
      <c r="D144" s="4" t="s">
        <v>1</v>
      </c>
      <c r="E144" s="4" t="s">
        <v>969</v>
      </c>
      <c r="F144" s="4" t="s">
        <v>3</v>
      </c>
      <c r="G144" s="4" t="s">
        <v>4</v>
      </c>
      <c r="H144" s="4" t="s">
        <v>90</v>
      </c>
      <c r="I144" s="5">
        <v>43553</v>
      </c>
      <c r="J144" s="6">
        <v>0.6915856481481482</v>
      </c>
      <c r="K144" s="5">
        <v>43557</v>
      </c>
      <c r="L144" s="4" t="s">
        <v>6</v>
      </c>
      <c r="M144" s="4"/>
      <c r="N144" s="4" t="s">
        <v>91</v>
      </c>
      <c r="O144" s="4" t="s">
        <v>92</v>
      </c>
      <c r="P144" s="4" t="s">
        <v>575</v>
      </c>
      <c r="Q144" s="4" t="s">
        <v>4</v>
      </c>
      <c r="R144" s="4" t="s">
        <v>4</v>
      </c>
      <c r="S144" s="4" t="s">
        <v>10</v>
      </c>
      <c r="T144" s="4"/>
      <c r="U144" s="4"/>
      <c r="V144" s="4"/>
      <c r="W144" s="4" t="s">
        <v>11</v>
      </c>
      <c r="X144" s="4" t="s">
        <v>970</v>
      </c>
      <c r="Y144" s="4" t="s">
        <v>970</v>
      </c>
      <c r="Z144" s="4" t="s">
        <v>965</v>
      </c>
      <c r="AA144" s="4" t="s">
        <v>971</v>
      </c>
      <c r="AB144" s="4" t="s">
        <v>972</v>
      </c>
      <c r="AC144" s="4" t="s">
        <v>973</v>
      </c>
      <c r="AD144" s="4" t="s">
        <v>17</v>
      </c>
      <c r="AE144" s="4" t="s">
        <v>17</v>
      </c>
      <c r="AF144" s="4" t="s">
        <v>19</v>
      </c>
      <c r="AG144" s="4" t="s">
        <v>19</v>
      </c>
      <c r="AH144" s="4" t="s">
        <v>972</v>
      </c>
    </row>
    <row r="145" spans="2:34" ht="15">
      <c r="B145" s="1" t="s">
        <v>20</v>
      </c>
      <c r="C145" s="2">
        <v>43557</v>
      </c>
      <c r="D145" s="1" t="s">
        <v>21</v>
      </c>
      <c r="E145" s="1" t="s">
        <v>913</v>
      </c>
      <c r="F145" s="1" t="s">
        <v>3</v>
      </c>
      <c r="G145" s="1" t="s">
        <v>85</v>
      </c>
      <c r="H145" s="1" t="s">
        <v>914</v>
      </c>
      <c r="I145" s="2">
        <v>43551</v>
      </c>
      <c r="J145" s="3">
        <v>0.38358796296296294</v>
      </c>
      <c r="K145" s="2">
        <v>43557</v>
      </c>
      <c r="L145" s="1" t="s">
        <v>6</v>
      </c>
      <c r="M145" s="1"/>
      <c r="N145" s="1"/>
      <c r="O145" s="1" t="s">
        <v>915</v>
      </c>
      <c r="P145" s="1" t="s">
        <v>916</v>
      </c>
      <c r="Q145" s="1" t="s">
        <v>4</v>
      </c>
      <c r="R145" s="1" t="s">
        <v>85</v>
      </c>
      <c r="S145" s="1" t="s">
        <v>85</v>
      </c>
      <c r="T145" s="1"/>
      <c r="U145" s="1"/>
      <c r="V145" s="1"/>
      <c r="W145" s="1" t="s">
        <v>27</v>
      </c>
      <c r="X145" s="1" t="s">
        <v>917</v>
      </c>
      <c r="Y145" s="1" t="s">
        <v>917</v>
      </c>
      <c r="Z145" s="1" t="s">
        <v>918</v>
      </c>
      <c r="AA145" s="1" t="s">
        <v>919</v>
      </c>
      <c r="AB145" s="1" t="s">
        <v>920</v>
      </c>
      <c r="AC145" s="1" t="s">
        <v>921</v>
      </c>
      <c r="AD145" s="1" t="s">
        <v>17</v>
      </c>
      <c r="AE145" s="1" t="s">
        <v>18</v>
      </c>
      <c r="AF145" s="1" t="s">
        <v>19</v>
      </c>
      <c r="AG145" s="1" t="s">
        <v>19</v>
      </c>
      <c r="AH145" s="1" t="s">
        <v>920</v>
      </c>
    </row>
    <row r="146" spans="2:34" ht="15">
      <c r="B146" s="4" t="s">
        <v>20</v>
      </c>
      <c r="C146" s="5">
        <v>43557</v>
      </c>
      <c r="D146" s="4" t="s">
        <v>21</v>
      </c>
      <c r="E146" s="4" t="s">
        <v>974</v>
      </c>
      <c r="F146" s="4" t="s">
        <v>3</v>
      </c>
      <c r="G146" s="4" t="s">
        <v>4</v>
      </c>
      <c r="H146" s="4" t="s">
        <v>914</v>
      </c>
      <c r="I146" s="5">
        <v>43551</v>
      </c>
      <c r="J146" s="6">
        <v>0.38358796296296294</v>
      </c>
      <c r="K146" s="5">
        <v>43557</v>
      </c>
      <c r="L146" s="4" t="s">
        <v>6</v>
      </c>
      <c r="M146" s="4"/>
      <c r="N146" s="4" t="s">
        <v>975</v>
      </c>
      <c r="O146" s="4" t="s">
        <v>915</v>
      </c>
      <c r="P146" s="4" t="s">
        <v>916</v>
      </c>
      <c r="Q146" s="4" t="s">
        <v>4</v>
      </c>
      <c r="R146" s="4" t="s">
        <v>85</v>
      </c>
      <c r="S146" s="4" t="s">
        <v>4</v>
      </c>
      <c r="T146" s="4"/>
      <c r="U146" s="4"/>
      <c r="V146" s="4"/>
      <c r="W146" s="4" t="s">
        <v>27</v>
      </c>
      <c r="X146" s="4" t="s">
        <v>917</v>
      </c>
      <c r="Y146" s="4" t="s">
        <v>917</v>
      </c>
      <c r="Z146" s="4" t="s">
        <v>918</v>
      </c>
      <c r="AA146" s="4" t="s">
        <v>919</v>
      </c>
      <c r="AB146" s="4" t="s">
        <v>920</v>
      </c>
      <c r="AC146" s="4" t="s">
        <v>921</v>
      </c>
      <c r="AD146" s="4" t="s">
        <v>17</v>
      </c>
      <c r="AE146" s="4" t="s">
        <v>18</v>
      </c>
      <c r="AF146" s="4" t="s">
        <v>19</v>
      </c>
      <c r="AG146" s="4" t="s">
        <v>19</v>
      </c>
      <c r="AH146" s="4" t="s">
        <v>920</v>
      </c>
    </row>
    <row r="147" spans="2:34" ht="15">
      <c r="B147" s="1" t="s">
        <v>153</v>
      </c>
      <c r="C147" s="2">
        <v>43557</v>
      </c>
      <c r="D147" s="1" t="s">
        <v>154</v>
      </c>
      <c r="E147" s="1" t="s">
        <v>976</v>
      </c>
      <c r="F147" s="1" t="s">
        <v>3</v>
      </c>
      <c r="G147" s="1" t="s">
        <v>4</v>
      </c>
      <c r="H147" s="1" t="s">
        <v>119</v>
      </c>
      <c r="I147" s="2">
        <v>43556</v>
      </c>
      <c r="J147" s="3">
        <v>0.4655902777777778</v>
      </c>
      <c r="K147" s="2">
        <v>43558</v>
      </c>
      <c r="L147" s="1" t="s">
        <v>6</v>
      </c>
      <c r="M147" s="1"/>
      <c r="N147" s="1" t="s">
        <v>977</v>
      </c>
      <c r="O147" s="1" t="s">
        <v>978</v>
      </c>
      <c r="P147" s="1" t="s">
        <v>979</v>
      </c>
      <c r="Q147" s="1" t="s">
        <v>4</v>
      </c>
      <c r="R147" s="1" t="s">
        <v>4</v>
      </c>
      <c r="S147" s="1" t="s">
        <v>10</v>
      </c>
      <c r="T147" s="1"/>
      <c r="U147" s="1"/>
      <c r="V147" s="1"/>
      <c r="W147" s="1" t="s">
        <v>27</v>
      </c>
      <c r="X147" s="1" t="s">
        <v>980</v>
      </c>
      <c r="Y147" s="1" t="s">
        <v>980</v>
      </c>
      <c r="Z147" s="1" t="s">
        <v>981</v>
      </c>
      <c r="AA147" s="1" t="s">
        <v>982</v>
      </c>
      <c r="AB147" s="1" t="s">
        <v>983</v>
      </c>
      <c r="AC147" s="1" t="s">
        <v>984</v>
      </c>
      <c r="AD147" s="1" t="s">
        <v>17</v>
      </c>
      <c r="AE147" s="1" t="s">
        <v>985</v>
      </c>
      <c r="AF147" s="1" t="s">
        <v>19</v>
      </c>
      <c r="AG147" s="1" t="s">
        <v>19</v>
      </c>
      <c r="AH147" s="1" t="s">
        <v>983</v>
      </c>
    </row>
    <row r="148" spans="2:34" ht="15">
      <c r="B148" s="4" t="s">
        <v>20</v>
      </c>
      <c r="C148" s="5">
        <v>43559</v>
      </c>
      <c r="D148" s="4" t="s">
        <v>21</v>
      </c>
      <c r="E148" s="4" t="s">
        <v>986</v>
      </c>
      <c r="F148" s="4" t="s">
        <v>3</v>
      </c>
      <c r="G148" s="4" t="s">
        <v>4</v>
      </c>
      <c r="H148" s="4" t="s">
        <v>90</v>
      </c>
      <c r="I148" s="5">
        <v>43558</v>
      </c>
      <c r="J148" s="6">
        <v>0.7015046296296297</v>
      </c>
      <c r="K148" s="5">
        <v>43560</v>
      </c>
      <c r="L148" s="4" t="s">
        <v>6</v>
      </c>
      <c r="M148" s="4"/>
      <c r="N148" s="4" t="s">
        <v>91</v>
      </c>
      <c r="O148" s="4" t="s">
        <v>92</v>
      </c>
      <c r="P148" s="4" t="s">
        <v>575</v>
      </c>
      <c r="Q148" s="4" t="s">
        <v>4</v>
      </c>
      <c r="R148" s="4" t="s">
        <v>4</v>
      </c>
      <c r="S148" s="4" t="s">
        <v>10</v>
      </c>
      <c r="T148" s="4"/>
      <c r="U148" s="4"/>
      <c r="V148" s="4"/>
      <c r="W148" s="4" t="s">
        <v>11</v>
      </c>
      <c r="X148" s="4" t="s">
        <v>987</v>
      </c>
      <c r="Y148" s="4" t="s">
        <v>987</v>
      </c>
      <c r="Z148" s="4" t="s">
        <v>988</v>
      </c>
      <c r="AA148" s="4" t="s">
        <v>989</v>
      </c>
      <c r="AB148" s="4" t="s">
        <v>990</v>
      </c>
      <c r="AC148" s="4" t="s">
        <v>991</v>
      </c>
      <c r="AD148" s="4" t="s">
        <v>17</v>
      </c>
      <c r="AE148" s="4" t="s">
        <v>18</v>
      </c>
      <c r="AF148" s="4" t="s">
        <v>19</v>
      </c>
      <c r="AG148" s="4" t="s">
        <v>19</v>
      </c>
      <c r="AH148" s="4" t="s">
        <v>990</v>
      </c>
    </row>
    <row r="149" spans="2:34" ht="15">
      <c r="B149" s="1" t="s">
        <v>0</v>
      </c>
      <c r="C149" s="2">
        <v>43559</v>
      </c>
      <c r="D149" s="1" t="s">
        <v>1</v>
      </c>
      <c r="E149" s="1" t="s">
        <v>992</v>
      </c>
      <c r="F149" s="1" t="s">
        <v>3</v>
      </c>
      <c r="G149" s="1" t="s">
        <v>4</v>
      </c>
      <c r="H149" s="1" t="s">
        <v>90</v>
      </c>
      <c r="I149" s="2">
        <v>43558</v>
      </c>
      <c r="J149" s="3">
        <v>0.7015046296296297</v>
      </c>
      <c r="K149" s="2">
        <v>43560</v>
      </c>
      <c r="L149" s="1" t="s">
        <v>6</v>
      </c>
      <c r="M149" s="1"/>
      <c r="N149" s="1" t="s">
        <v>91</v>
      </c>
      <c r="O149" s="1" t="s">
        <v>92</v>
      </c>
      <c r="P149" s="1" t="s">
        <v>575</v>
      </c>
      <c r="Q149" s="1" t="s">
        <v>4</v>
      </c>
      <c r="R149" s="1" t="s">
        <v>4</v>
      </c>
      <c r="S149" s="1" t="s">
        <v>10</v>
      </c>
      <c r="T149" s="1"/>
      <c r="U149" s="1"/>
      <c r="V149" s="1"/>
      <c r="W149" s="1" t="s">
        <v>11</v>
      </c>
      <c r="X149" s="1" t="s">
        <v>993</v>
      </c>
      <c r="Y149" s="1" t="s">
        <v>993</v>
      </c>
      <c r="Z149" s="1" t="s">
        <v>988</v>
      </c>
      <c r="AA149" s="1" t="s">
        <v>994</v>
      </c>
      <c r="AB149" s="1" t="s">
        <v>995</v>
      </c>
      <c r="AC149" s="1" t="s">
        <v>996</v>
      </c>
      <c r="AD149" s="1" t="s">
        <v>17</v>
      </c>
      <c r="AE149" s="1" t="s">
        <v>18</v>
      </c>
      <c r="AF149" s="1" t="s">
        <v>19</v>
      </c>
      <c r="AG149" s="1" t="s">
        <v>19</v>
      </c>
      <c r="AH149" s="1" t="s">
        <v>995</v>
      </c>
    </row>
    <row r="150" spans="2:34" ht="15">
      <c r="B150" s="4" t="s">
        <v>20</v>
      </c>
      <c r="C150" s="5">
        <v>43565</v>
      </c>
      <c r="D150" s="4" t="s">
        <v>21</v>
      </c>
      <c r="E150" s="4" t="s">
        <v>893</v>
      </c>
      <c r="F150" s="4" t="s">
        <v>3</v>
      </c>
      <c r="G150" s="4" t="s">
        <v>85</v>
      </c>
      <c r="H150" s="4" t="s">
        <v>894</v>
      </c>
      <c r="I150" s="5">
        <v>43549</v>
      </c>
      <c r="J150" s="6">
        <v>0.5125</v>
      </c>
      <c r="K150" s="5">
        <v>43565</v>
      </c>
      <c r="L150" s="4" t="s">
        <v>6</v>
      </c>
      <c r="M150" s="4"/>
      <c r="N150" s="4"/>
      <c r="O150" s="4" t="s">
        <v>895</v>
      </c>
      <c r="P150" s="4" t="s">
        <v>896</v>
      </c>
      <c r="Q150" s="4" t="s">
        <v>4</v>
      </c>
      <c r="R150" s="4" t="s">
        <v>85</v>
      </c>
      <c r="S150" s="4" t="s">
        <v>85</v>
      </c>
      <c r="T150" s="4"/>
      <c r="U150" s="4"/>
      <c r="V150" s="4"/>
      <c r="W150" s="4" t="s">
        <v>27</v>
      </c>
      <c r="X150" s="4" t="s">
        <v>897</v>
      </c>
      <c r="Y150" s="4" t="s">
        <v>897</v>
      </c>
      <c r="Z150" s="4" t="s">
        <v>898</v>
      </c>
      <c r="AA150" s="4" t="s">
        <v>899</v>
      </c>
      <c r="AB150" s="4" t="s">
        <v>899</v>
      </c>
      <c r="AC150" s="4" t="s">
        <v>17</v>
      </c>
      <c r="AD150" s="4" t="s">
        <v>17</v>
      </c>
      <c r="AE150" s="4" t="s">
        <v>17</v>
      </c>
      <c r="AF150" s="4" t="s">
        <v>19</v>
      </c>
      <c r="AG150" s="4" t="s">
        <v>19</v>
      </c>
      <c r="AH150" s="4" t="s">
        <v>899</v>
      </c>
    </row>
    <row r="151" spans="2:34" ht="15">
      <c r="B151" s="1" t="s">
        <v>20</v>
      </c>
      <c r="C151" s="2">
        <v>43565</v>
      </c>
      <c r="D151" s="1" t="s">
        <v>21</v>
      </c>
      <c r="E151" s="1" t="s">
        <v>997</v>
      </c>
      <c r="F151" s="1" t="s">
        <v>3</v>
      </c>
      <c r="G151" s="1" t="s">
        <v>4</v>
      </c>
      <c r="H151" s="1" t="s">
        <v>894</v>
      </c>
      <c r="I151" s="2">
        <v>43549</v>
      </c>
      <c r="J151" s="3">
        <v>0.5125</v>
      </c>
      <c r="K151" s="2">
        <v>43565</v>
      </c>
      <c r="L151" s="1" t="s">
        <v>6</v>
      </c>
      <c r="M151" s="1"/>
      <c r="N151" s="1" t="s">
        <v>998</v>
      </c>
      <c r="O151" s="1" t="s">
        <v>895</v>
      </c>
      <c r="P151" s="1" t="s">
        <v>896</v>
      </c>
      <c r="Q151" s="1" t="s">
        <v>4</v>
      </c>
      <c r="R151" s="1" t="s">
        <v>85</v>
      </c>
      <c r="S151" s="1" t="s">
        <v>4</v>
      </c>
      <c r="T151" s="1"/>
      <c r="U151" s="1"/>
      <c r="V151" s="1"/>
      <c r="W151" s="1" t="s">
        <v>27</v>
      </c>
      <c r="X151" s="1" t="s">
        <v>897</v>
      </c>
      <c r="Y151" s="1" t="s">
        <v>897</v>
      </c>
      <c r="Z151" s="1" t="s">
        <v>898</v>
      </c>
      <c r="AA151" s="1" t="s">
        <v>899</v>
      </c>
      <c r="AB151" s="1" t="s">
        <v>899</v>
      </c>
      <c r="AC151" s="1" t="s">
        <v>17</v>
      </c>
      <c r="AD151" s="1" t="s">
        <v>17</v>
      </c>
      <c r="AE151" s="1" t="s">
        <v>17</v>
      </c>
      <c r="AF151" s="1" t="s">
        <v>19</v>
      </c>
      <c r="AG151" s="1" t="s">
        <v>19</v>
      </c>
      <c r="AH151" s="1" t="s">
        <v>899</v>
      </c>
    </row>
    <row r="152" spans="2:34" ht="15">
      <c r="B152" s="4" t="s">
        <v>0</v>
      </c>
      <c r="C152" s="5">
        <v>43567</v>
      </c>
      <c r="D152" s="4" t="s">
        <v>1</v>
      </c>
      <c r="E152" s="4" t="s">
        <v>999</v>
      </c>
      <c r="F152" s="4" t="s">
        <v>3</v>
      </c>
      <c r="G152" s="4" t="s">
        <v>4</v>
      </c>
      <c r="H152" s="4" t="s">
        <v>90</v>
      </c>
      <c r="I152" s="5">
        <v>43566</v>
      </c>
      <c r="J152" s="6">
        <v>0.6256481481481482</v>
      </c>
      <c r="K152" s="5">
        <v>43570</v>
      </c>
      <c r="L152" s="4" t="s">
        <v>6</v>
      </c>
      <c r="M152" s="4"/>
      <c r="N152" s="4" t="s">
        <v>307</v>
      </c>
      <c r="O152" s="4" t="s">
        <v>308</v>
      </c>
      <c r="P152" s="4" t="s">
        <v>309</v>
      </c>
      <c r="Q152" s="4" t="s">
        <v>4</v>
      </c>
      <c r="R152" s="4" t="s">
        <v>4</v>
      </c>
      <c r="S152" s="4" t="s">
        <v>10</v>
      </c>
      <c r="T152" s="4"/>
      <c r="U152" s="4"/>
      <c r="V152" s="4"/>
      <c r="W152" s="4" t="s">
        <v>27</v>
      </c>
      <c r="X152" s="4" t="s">
        <v>1000</v>
      </c>
      <c r="Y152" s="4" t="s">
        <v>1000</v>
      </c>
      <c r="Z152" s="4" t="s">
        <v>512</v>
      </c>
      <c r="AA152" s="4" t="s">
        <v>1001</v>
      </c>
      <c r="AB152" s="4" t="s">
        <v>1002</v>
      </c>
      <c r="AC152" s="4" t="s">
        <v>1003</v>
      </c>
      <c r="AD152" s="4" t="s">
        <v>17</v>
      </c>
      <c r="AE152" s="4" t="s">
        <v>18</v>
      </c>
      <c r="AF152" s="4" t="s">
        <v>19</v>
      </c>
      <c r="AG152" s="4" t="s">
        <v>19</v>
      </c>
      <c r="AH152" s="4" t="s">
        <v>1002</v>
      </c>
    </row>
    <row r="153" spans="2:34" ht="15">
      <c r="B153" s="1" t="s">
        <v>20</v>
      </c>
      <c r="C153" s="2">
        <v>43570</v>
      </c>
      <c r="D153" s="1" t="s">
        <v>21</v>
      </c>
      <c r="E153" s="1" t="s">
        <v>1004</v>
      </c>
      <c r="F153" s="1" t="s">
        <v>3</v>
      </c>
      <c r="G153" s="1" t="s">
        <v>4</v>
      </c>
      <c r="H153" s="1" t="s">
        <v>90</v>
      </c>
      <c r="I153" s="2">
        <v>43567</v>
      </c>
      <c r="J153" s="3">
        <v>0.6925</v>
      </c>
      <c r="K153" s="2">
        <v>43571</v>
      </c>
      <c r="L153" s="1" t="s">
        <v>6</v>
      </c>
      <c r="M153" s="1"/>
      <c r="N153" s="1" t="s">
        <v>307</v>
      </c>
      <c r="O153" s="1" t="s">
        <v>308</v>
      </c>
      <c r="P153" s="1" t="s">
        <v>309</v>
      </c>
      <c r="Q153" s="1" t="s">
        <v>4</v>
      </c>
      <c r="R153" s="1" t="s">
        <v>4</v>
      </c>
      <c r="S153" s="1" t="s">
        <v>10</v>
      </c>
      <c r="T153" s="1"/>
      <c r="U153" s="1"/>
      <c r="V153" s="1"/>
      <c r="W153" s="1" t="s">
        <v>11</v>
      </c>
      <c r="X153" s="1" t="s">
        <v>1005</v>
      </c>
      <c r="Y153" s="1" t="s">
        <v>1005</v>
      </c>
      <c r="Z153" s="1" t="s">
        <v>512</v>
      </c>
      <c r="AA153" s="1" t="s">
        <v>1006</v>
      </c>
      <c r="AB153" s="1" t="s">
        <v>1007</v>
      </c>
      <c r="AC153" s="1" t="s">
        <v>1008</v>
      </c>
      <c r="AD153" s="1" t="s">
        <v>17</v>
      </c>
      <c r="AE153" s="1" t="s">
        <v>18</v>
      </c>
      <c r="AF153" s="1" t="s">
        <v>19</v>
      </c>
      <c r="AG153" s="1" t="s">
        <v>19</v>
      </c>
      <c r="AH153" s="1" t="s">
        <v>1007</v>
      </c>
    </row>
    <row r="154" spans="2:34" ht="15">
      <c r="B154" s="4" t="s">
        <v>20</v>
      </c>
      <c r="C154" s="5">
        <v>43572</v>
      </c>
      <c r="D154" s="4" t="s">
        <v>21</v>
      </c>
      <c r="E154" s="4" t="s">
        <v>1009</v>
      </c>
      <c r="F154" s="4" t="s">
        <v>3</v>
      </c>
      <c r="G154" s="4" t="s">
        <v>4</v>
      </c>
      <c r="H154" s="4" t="s">
        <v>109</v>
      </c>
      <c r="I154" s="5">
        <v>43571</v>
      </c>
      <c r="J154" s="6">
        <v>0.65625</v>
      </c>
      <c r="K154" s="5">
        <v>43573</v>
      </c>
      <c r="L154" s="4" t="s">
        <v>6</v>
      </c>
      <c r="M154" s="4"/>
      <c r="N154" s="4" t="s">
        <v>1010</v>
      </c>
      <c r="O154" s="4" t="s">
        <v>1011</v>
      </c>
      <c r="P154" s="4" t="s">
        <v>1012</v>
      </c>
      <c r="Q154" s="4" t="s">
        <v>4</v>
      </c>
      <c r="R154" s="4" t="s">
        <v>4</v>
      </c>
      <c r="S154" s="4" t="s">
        <v>10</v>
      </c>
      <c r="T154" s="4"/>
      <c r="U154" s="4"/>
      <c r="V154" s="4"/>
      <c r="W154" s="4" t="s">
        <v>11</v>
      </c>
      <c r="X154" s="4" t="s">
        <v>1013</v>
      </c>
      <c r="Y154" s="4" t="s">
        <v>1013</v>
      </c>
      <c r="Z154" s="4" t="s">
        <v>1014</v>
      </c>
      <c r="AA154" s="4" t="s">
        <v>1015</v>
      </c>
      <c r="AB154" s="4" t="s">
        <v>1016</v>
      </c>
      <c r="AC154" s="4" t="s">
        <v>1017</v>
      </c>
      <c r="AD154" s="4" t="s">
        <v>17</v>
      </c>
      <c r="AE154" s="4" t="s">
        <v>18</v>
      </c>
      <c r="AF154" s="4" t="s">
        <v>19</v>
      </c>
      <c r="AG154" s="4" t="s">
        <v>19</v>
      </c>
      <c r="AH154" s="4" t="s">
        <v>1016</v>
      </c>
    </row>
    <row r="155" spans="2:34" ht="15">
      <c r="B155" s="1" t="s">
        <v>20</v>
      </c>
      <c r="C155" s="2">
        <v>43572</v>
      </c>
      <c r="D155" s="1" t="s">
        <v>21</v>
      </c>
      <c r="E155" s="1" t="s">
        <v>1018</v>
      </c>
      <c r="F155" s="1" t="s">
        <v>3</v>
      </c>
      <c r="G155" s="1" t="s">
        <v>4</v>
      </c>
      <c r="H155" s="1" t="s">
        <v>90</v>
      </c>
      <c r="I155" s="2">
        <v>43571</v>
      </c>
      <c r="J155" s="3">
        <v>0.6939467592592593</v>
      </c>
      <c r="K155" s="2">
        <v>43573</v>
      </c>
      <c r="L155" s="1" t="s">
        <v>6</v>
      </c>
      <c r="M155" s="1"/>
      <c r="N155" s="1" t="s">
        <v>307</v>
      </c>
      <c r="O155" s="1" t="s">
        <v>308</v>
      </c>
      <c r="P155" s="1" t="s">
        <v>309</v>
      </c>
      <c r="Q155" s="1" t="s">
        <v>4</v>
      </c>
      <c r="R155" s="1" t="s">
        <v>4</v>
      </c>
      <c r="S155" s="1" t="s">
        <v>10</v>
      </c>
      <c r="T155" s="1"/>
      <c r="U155" s="1"/>
      <c r="V155" s="1"/>
      <c r="W155" s="1" t="s">
        <v>11</v>
      </c>
      <c r="X155" s="1" t="s">
        <v>1019</v>
      </c>
      <c r="Y155" s="1" t="s">
        <v>1019</v>
      </c>
      <c r="Z155" s="1" t="s">
        <v>1020</v>
      </c>
      <c r="AA155" s="1" t="s">
        <v>1021</v>
      </c>
      <c r="AB155" s="1" t="s">
        <v>1022</v>
      </c>
      <c r="AC155" s="1" t="s">
        <v>1023</v>
      </c>
      <c r="AD155" s="1" t="s">
        <v>17</v>
      </c>
      <c r="AE155" s="1" t="s">
        <v>18</v>
      </c>
      <c r="AF155" s="1" t="s">
        <v>19</v>
      </c>
      <c r="AG155" s="1" t="s">
        <v>19</v>
      </c>
      <c r="AH155" s="1" t="s">
        <v>1022</v>
      </c>
    </row>
    <row r="156" spans="2:34" ht="15">
      <c r="B156" s="4" t="s">
        <v>20</v>
      </c>
      <c r="C156" s="5">
        <v>43573</v>
      </c>
      <c r="D156" s="4" t="s">
        <v>21</v>
      </c>
      <c r="E156" s="4" t="s">
        <v>1024</v>
      </c>
      <c r="F156" s="4" t="s">
        <v>3</v>
      </c>
      <c r="G156" s="4" t="s">
        <v>4</v>
      </c>
      <c r="H156" s="4" t="s">
        <v>632</v>
      </c>
      <c r="I156" s="5">
        <v>43572</v>
      </c>
      <c r="J156" s="6">
        <v>0.513449074074074</v>
      </c>
      <c r="K156" s="5">
        <v>43578</v>
      </c>
      <c r="L156" s="4" t="s">
        <v>6</v>
      </c>
      <c r="M156" s="4"/>
      <c r="N156" s="4" t="s">
        <v>876</v>
      </c>
      <c r="O156" s="4" t="s">
        <v>877</v>
      </c>
      <c r="P156" s="4" t="s">
        <v>878</v>
      </c>
      <c r="Q156" s="4" t="s">
        <v>4</v>
      </c>
      <c r="R156" s="4" t="s">
        <v>4</v>
      </c>
      <c r="S156" s="4" t="s">
        <v>10</v>
      </c>
      <c r="T156" s="4"/>
      <c r="U156" s="4"/>
      <c r="V156" s="4"/>
      <c r="W156" s="4" t="s">
        <v>11</v>
      </c>
      <c r="X156" s="4" t="s">
        <v>1025</v>
      </c>
      <c r="Y156" s="4" t="s">
        <v>1025</v>
      </c>
      <c r="Z156" s="4" t="s">
        <v>1026</v>
      </c>
      <c r="AA156" s="4" t="s">
        <v>1027</v>
      </c>
      <c r="AB156" s="4" t="s">
        <v>1028</v>
      </c>
      <c r="AC156" s="4" t="s">
        <v>1029</v>
      </c>
      <c r="AD156" s="4" t="s">
        <v>17</v>
      </c>
      <c r="AE156" s="4" t="s">
        <v>18</v>
      </c>
      <c r="AF156" s="4" t="s">
        <v>19</v>
      </c>
      <c r="AG156" s="4" t="s">
        <v>19</v>
      </c>
      <c r="AH156" s="4" t="s">
        <v>1028</v>
      </c>
    </row>
    <row r="157" spans="2:34" ht="15">
      <c r="B157" s="1" t="s">
        <v>0</v>
      </c>
      <c r="C157" s="2">
        <v>43573</v>
      </c>
      <c r="D157" s="1" t="s">
        <v>1</v>
      </c>
      <c r="E157" s="1" t="s">
        <v>1030</v>
      </c>
      <c r="F157" s="1" t="s">
        <v>3</v>
      </c>
      <c r="G157" s="1" t="s">
        <v>4</v>
      </c>
      <c r="H157" s="1" t="s">
        <v>81</v>
      </c>
      <c r="I157" s="2">
        <v>43572</v>
      </c>
      <c r="J157" s="3">
        <v>0.5076388888888889</v>
      </c>
      <c r="K157" s="2">
        <v>43578</v>
      </c>
      <c r="L157" s="1" t="s">
        <v>6</v>
      </c>
      <c r="M157" s="1"/>
      <c r="N157" s="1" t="s">
        <v>401</v>
      </c>
      <c r="O157" s="1" t="s">
        <v>402</v>
      </c>
      <c r="P157" s="1" t="s">
        <v>403</v>
      </c>
      <c r="Q157" s="1" t="s">
        <v>4</v>
      </c>
      <c r="R157" s="1" t="s">
        <v>4</v>
      </c>
      <c r="S157" s="1" t="s">
        <v>10</v>
      </c>
      <c r="T157" s="1"/>
      <c r="U157" s="1"/>
      <c r="V157" s="1"/>
      <c r="W157" s="1" t="s">
        <v>27</v>
      </c>
      <c r="X157" s="1" t="s">
        <v>1031</v>
      </c>
      <c r="Y157" s="1" t="s">
        <v>1031</v>
      </c>
      <c r="Z157" s="1" t="s">
        <v>1032</v>
      </c>
      <c r="AA157" s="1" t="s">
        <v>1033</v>
      </c>
      <c r="AB157" s="1" t="s">
        <v>1034</v>
      </c>
      <c r="AC157" s="1" t="s">
        <v>1035</v>
      </c>
      <c r="AD157" s="1" t="s">
        <v>17</v>
      </c>
      <c r="AE157" s="1" t="s">
        <v>18</v>
      </c>
      <c r="AF157" s="1" t="s">
        <v>19</v>
      </c>
      <c r="AG157" s="1" t="s">
        <v>19</v>
      </c>
      <c r="AH157" s="1" t="s">
        <v>1034</v>
      </c>
    </row>
    <row r="158" spans="2:34" ht="15">
      <c r="B158" s="4" t="s">
        <v>153</v>
      </c>
      <c r="C158" s="5">
        <v>43573</v>
      </c>
      <c r="D158" s="4" t="s">
        <v>154</v>
      </c>
      <c r="E158" s="4" t="s">
        <v>1036</v>
      </c>
      <c r="F158" s="4" t="s">
        <v>3</v>
      </c>
      <c r="G158" s="4" t="s">
        <v>4</v>
      </c>
      <c r="H158" s="4" t="s">
        <v>81</v>
      </c>
      <c r="I158" s="5">
        <v>43572</v>
      </c>
      <c r="J158" s="6">
        <v>0.5076388888888889</v>
      </c>
      <c r="K158" s="5">
        <v>43578</v>
      </c>
      <c r="L158" s="4" t="s">
        <v>6</v>
      </c>
      <c r="M158" s="4"/>
      <c r="N158" s="4" t="s">
        <v>401</v>
      </c>
      <c r="O158" s="4" t="s">
        <v>402</v>
      </c>
      <c r="P158" s="4" t="s">
        <v>403</v>
      </c>
      <c r="Q158" s="4" t="s">
        <v>4</v>
      </c>
      <c r="R158" s="4" t="s">
        <v>4</v>
      </c>
      <c r="S158" s="4" t="s">
        <v>10</v>
      </c>
      <c r="T158" s="4"/>
      <c r="U158" s="4"/>
      <c r="V158" s="4"/>
      <c r="W158" s="4" t="s">
        <v>27</v>
      </c>
      <c r="X158" s="4" t="s">
        <v>1037</v>
      </c>
      <c r="Y158" s="4" t="s">
        <v>1037</v>
      </c>
      <c r="Z158" s="4" t="s">
        <v>1032</v>
      </c>
      <c r="AA158" s="4" t="s">
        <v>1038</v>
      </c>
      <c r="AB158" s="4" t="s">
        <v>1039</v>
      </c>
      <c r="AC158" s="4" t="s">
        <v>1040</v>
      </c>
      <c r="AD158" s="4" t="s">
        <v>17</v>
      </c>
      <c r="AE158" s="4" t="s">
        <v>17</v>
      </c>
      <c r="AF158" s="4" t="s">
        <v>19</v>
      </c>
      <c r="AG158" s="4" t="s">
        <v>19</v>
      </c>
      <c r="AH158" s="4" t="s">
        <v>1039</v>
      </c>
    </row>
    <row r="159" spans="2:34" ht="15">
      <c r="B159" s="1" t="s">
        <v>20</v>
      </c>
      <c r="C159" s="2">
        <v>43578</v>
      </c>
      <c r="D159" s="1" t="s">
        <v>21</v>
      </c>
      <c r="E159" s="1" t="s">
        <v>1041</v>
      </c>
      <c r="F159" s="1" t="s">
        <v>3</v>
      </c>
      <c r="G159" s="1" t="s">
        <v>4</v>
      </c>
      <c r="H159" s="1" t="s">
        <v>183</v>
      </c>
      <c r="I159" s="2">
        <v>43573</v>
      </c>
      <c r="J159" s="3">
        <v>0.4888425925925926</v>
      </c>
      <c r="K159" s="2">
        <v>43579</v>
      </c>
      <c r="L159" s="1" t="s">
        <v>6</v>
      </c>
      <c r="M159" s="1"/>
      <c r="N159" s="1" t="s">
        <v>538</v>
      </c>
      <c r="O159" s="1" t="s">
        <v>539</v>
      </c>
      <c r="P159" s="1" t="s">
        <v>540</v>
      </c>
      <c r="Q159" s="1" t="s">
        <v>4</v>
      </c>
      <c r="R159" s="1" t="s">
        <v>4</v>
      </c>
      <c r="S159" s="1" t="s">
        <v>10</v>
      </c>
      <c r="T159" s="1"/>
      <c r="U159" s="1"/>
      <c r="V159" s="1"/>
      <c r="W159" s="1" t="s">
        <v>11</v>
      </c>
      <c r="X159" s="1" t="s">
        <v>1042</v>
      </c>
      <c r="Y159" s="1" t="s">
        <v>1042</v>
      </c>
      <c r="Z159" s="1" t="s">
        <v>1043</v>
      </c>
      <c r="AA159" s="1" t="s">
        <v>1044</v>
      </c>
      <c r="AB159" s="1" t="s">
        <v>1045</v>
      </c>
      <c r="AC159" s="1" t="s">
        <v>1046</v>
      </c>
      <c r="AD159" s="1" t="s">
        <v>17</v>
      </c>
      <c r="AE159" s="1" t="s">
        <v>18</v>
      </c>
      <c r="AF159" s="1" t="s">
        <v>19</v>
      </c>
      <c r="AG159" s="1" t="s">
        <v>19</v>
      </c>
      <c r="AH159" s="1" t="s">
        <v>1045</v>
      </c>
    </row>
    <row r="160" spans="2:34" ht="15">
      <c r="B160" s="4" t="s">
        <v>20</v>
      </c>
      <c r="C160" s="5">
        <v>43578</v>
      </c>
      <c r="D160" s="4" t="s">
        <v>21</v>
      </c>
      <c r="E160" s="4" t="s">
        <v>1047</v>
      </c>
      <c r="F160" s="4" t="s">
        <v>3</v>
      </c>
      <c r="G160" s="4" t="s">
        <v>4</v>
      </c>
      <c r="H160" s="4" t="s">
        <v>109</v>
      </c>
      <c r="I160" s="5">
        <v>43573</v>
      </c>
      <c r="J160" s="6">
        <v>0.5145833333333333</v>
      </c>
      <c r="K160" s="5">
        <v>43579</v>
      </c>
      <c r="L160" s="4" t="s">
        <v>6</v>
      </c>
      <c r="M160" s="4"/>
      <c r="N160" s="4" t="s">
        <v>1010</v>
      </c>
      <c r="O160" s="4" t="s">
        <v>1011</v>
      </c>
      <c r="P160" s="4" t="s">
        <v>1012</v>
      </c>
      <c r="Q160" s="4" t="s">
        <v>4</v>
      </c>
      <c r="R160" s="4" t="s">
        <v>4</v>
      </c>
      <c r="S160" s="4" t="s">
        <v>10</v>
      </c>
      <c r="T160" s="4"/>
      <c r="U160" s="4"/>
      <c r="V160" s="4"/>
      <c r="W160" s="4" t="s">
        <v>11</v>
      </c>
      <c r="X160" s="4" t="s">
        <v>1044</v>
      </c>
      <c r="Y160" s="4" t="s">
        <v>1044</v>
      </c>
      <c r="Z160" s="4" t="s">
        <v>1048</v>
      </c>
      <c r="AA160" s="4" t="s">
        <v>1049</v>
      </c>
      <c r="AB160" s="4" t="s">
        <v>1050</v>
      </c>
      <c r="AC160" s="4" t="s">
        <v>1051</v>
      </c>
      <c r="AD160" s="4" t="s">
        <v>17</v>
      </c>
      <c r="AE160" s="4" t="s">
        <v>18</v>
      </c>
      <c r="AF160" s="4" t="s">
        <v>19</v>
      </c>
      <c r="AG160" s="4" t="s">
        <v>19</v>
      </c>
      <c r="AH160" s="4" t="s">
        <v>1050</v>
      </c>
    </row>
    <row r="161" spans="2:34" ht="15">
      <c r="B161" s="1" t="s">
        <v>20</v>
      </c>
      <c r="C161" s="2">
        <v>43578</v>
      </c>
      <c r="D161" s="1" t="s">
        <v>21</v>
      </c>
      <c r="E161" s="1" t="s">
        <v>1052</v>
      </c>
      <c r="F161" s="1" t="s">
        <v>3</v>
      </c>
      <c r="G161" s="1" t="s">
        <v>4</v>
      </c>
      <c r="H161" s="1" t="s">
        <v>90</v>
      </c>
      <c r="I161" s="2">
        <v>43573</v>
      </c>
      <c r="J161" s="3">
        <v>0.6937037037037037</v>
      </c>
      <c r="K161" s="2">
        <v>43579</v>
      </c>
      <c r="L161" s="1" t="s">
        <v>6</v>
      </c>
      <c r="M161" s="1"/>
      <c r="N161" s="1" t="s">
        <v>307</v>
      </c>
      <c r="O161" s="1" t="s">
        <v>308</v>
      </c>
      <c r="P161" s="1" t="s">
        <v>309</v>
      </c>
      <c r="Q161" s="1" t="s">
        <v>4</v>
      </c>
      <c r="R161" s="1" t="s">
        <v>4</v>
      </c>
      <c r="S161" s="1" t="s">
        <v>10</v>
      </c>
      <c r="T161" s="1"/>
      <c r="U161" s="1"/>
      <c r="V161" s="1"/>
      <c r="W161" s="1" t="s">
        <v>11</v>
      </c>
      <c r="X161" s="1" t="s">
        <v>1053</v>
      </c>
      <c r="Y161" s="1" t="s">
        <v>1053</v>
      </c>
      <c r="Z161" s="1" t="s">
        <v>1054</v>
      </c>
      <c r="AA161" s="1" t="s">
        <v>1055</v>
      </c>
      <c r="AB161" s="1" t="s">
        <v>1056</v>
      </c>
      <c r="AC161" s="1" t="s">
        <v>1057</v>
      </c>
      <c r="AD161" s="1" t="s">
        <v>17</v>
      </c>
      <c r="AE161" s="1" t="s">
        <v>18</v>
      </c>
      <c r="AF161" s="1" t="s">
        <v>19</v>
      </c>
      <c r="AG161" s="1" t="s">
        <v>19</v>
      </c>
      <c r="AH161" s="1" t="s">
        <v>1056</v>
      </c>
    </row>
    <row r="162" spans="2:34" ht="15">
      <c r="B162" s="4" t="s">
        <v>20</v>
      </c>
      <c r="C162" s="5">
        <v>43579</v>
      </c>
      <c r="D162" s="4" t="s">
        <v>21</v>
      </c>
      <c r="E162" s="4" t="s">
        <v>1058</v>
      </c>
      <c r="F162" s="4" t="s">
        <v>3</v>
      </c>
      <c r="G162" s="4" t="s">
        <v>4</v>
      </c>
      <c r="H162" s="4" t="s">
        <v>632</v>
      </c>
      <c r="I162" s="5">
        <v>43579</v>
      </c>
      <c r="J162" s="6">
        <v>0.4134953703703704</v>
      </c>
      <c r="K162" s="5">
        <v>43581</v>
      </c>
      <c r="L162" s="4" t="s">
        <v>6</v>
      </c>
      <c r="M162" s="4"/>
      <c r="N162" s="4" t="s">
        <v>876</v>
      </c>
      <c r="O162" s="4" t="s">
        <v>877</v>
      </c>
      <c r="P162" s="4" t="s">
        <v>878</v>
      </c>
      <c r="Q162" s="4" t="s">
        <v>4</v>
      </c>
      <c r="R162" s="4" t="s">
        <v>4</v>
      </c>
      <c r="S162" s="4" t="s">
        <v>10</v>
      </c>
      <c r="T162" s="4"/>
      <c r="U162" s="4"/>
      <c r="V162" s="4"/>
      <c r="W162" s="4" t="s">
        <v>11</v>
      </c>
      <c r="X162" s="4" t="s">
        <v>1059</v>
      </c>
      <c r="Y162" s="4" t="s">
        <v>1059</v>
      </c>
      <c r="Z162" s="4" t="s">
        <v>1060</v>
      </c>
      <c r="AA162" s="4" t="s">
        <v>1061</v>
      </c>
      <c r="AB162" s="4" t="s">
        <v>1062</v>
      </c>
      <c r="AC162" s="4" t="s">
        <v>1063</v>
      </c>
      <c r="AD162" s="4" t="s">
        <v>17</v>
      </c>
      <c r="AE162" s="4" t="s">
        <v>18</v>
      </c>
      <c r="AF162" s="4" t="s">
        <v>19</v>
      </c>
      <c r="AG162" s="4" t="s">
        <v>19</v>
      </c>
      <c r="AH162" s="4" t="s">
        <v>1062</v>
      </c>
    </row>
    <row r="163" spans="2:34" ht="15">
      <c r="B163" s="1" t="s">
        <v>20</v>
      </c>
      <c r="C163" s="2">
        <v>43580</v>
      </c>
      <c r="D163" s="1" t="s">
        <v>21</v>
      </c>
      <c r="E163" s="1" t="s">
        <v>1064</v>
      </c>
      <c r="F163" s="1" t="s">
        <v>3</v>
      </c>
      <c r="G163" s="1" t="s">
        <v>4</v>
      </c>
      <c r="H163" s="1" t="s">
        <v>325</v>
      </c>
      <c r="I163" s="2">
        <v>43579</v>
      </c>
      <c r="J163" s="3">
        <v>0.3333333333333333</v>
      </c>
      <c r="K163" s="2">
        <v>43584</v>
      </c>
      <c r="L163" s="1" t="s">
        <v>6</v>
      </c>
      <c r="M163" s="1"/>
      <c r="N163" s="1"/>
      <c r="O163" s="1" t="s">
        <v>1065</v>
      </c>
      <c r="P163" s="1" t="s">
        <v>1066</v>
      </c>
      <c r="Q163" s="1" t="s">
        <v>4</v>
      </c>
      <c r="R163" s="1" t="s">
        <v>85</v>
      </c>
      <c r="S163" s="1" t="s">
        <v>85</v>
      </c>
      <c r="T163" s="1"/>
      <c r="U163" s="1"/>
      <c r="V163" s="1"/>
      <c r="W163" s="1" t="s">
        <v>27</v>
      </c>
      <c r="X163" s="1" t="s">
        <v>1067</v>
      </c>
      <c r="Y163" s="1" t="s">
        <v>1067</v>
      </c>
      <c r="Z163" s="1" t="s">
        <v>1068</v>
      </c>
      <c r="AA163" s="1" t="s">
        <v>1069</v>
      </c>
      <c r="AB163" s="1" t="s">
        <v>1069</v>
      </c>
      <c r="AC163" s="1" t="s">
        <v>17</v>
      </c>
      <c r="AD163" s="1" t="s">
        <v>17</v>
      </c>
      <c r="AE163" s="1" t="s">
        <v>17</v>
      </c>
      <c r="AF163" s="1" t="s">
        <v>19</v>
      </c>
      <c r="AG163" s="1" t="s">
        <v>19</v>
      </c>
      <c r="AH163" s="1" t="s">
        <v>1069</v>
      </c>
    </row>
    <row r="164" spans="2:34" ht="15">
      <c r="B164" s="4" t="s">
        <v>20</v>
      </c>
      <c r="C164" s="5">
        <v>43580</v>
      </c>
      <c r="D164" s="4" t="s">
        <v>21</v>
      </c>
      <c r="E164" s="4" t="s">
        <v>1070</v>
      </c>
      <c r="F164" s="4" t="s">
        <v>3</v>
      </c>
      <c r="G164" s="4" t="s">
        <v>4</v>
      </c>
      <c r="H164" s="4" t="s">
        <v>183</v>
      </c>
      <c r="I164" s="5">
        <v>43579</v>
      </c>
      <c r="J164" s="6">
        <v>0.6916435185185185</v>
      </c>
      <c r="K164" s="5">
        <v>43581</v>
      </c>
      <c r="L164" s="4" t="s">
        <v>6</v>
      </c>
      <c r="M164" s="4"/>
      <c r="N164" s="4" t="s">
        <v>538</v>
      </c>
      <c r="O164" s="4" t="s">
        <v>539</v>
      </c>
      <c r="P164" s="4" t="s">
        <v>540</v>
      </c>
      <c r="Q164" s="4" t="s">
        <v>4</v>
      </c>
      <c r="R164" s="4" t="s">
        <v>4</v>
      </c>
      <c r="S164" s="4" t="s">
        <v>10</v>
      </c>
      <c r="T164" s="4"/>
      <c r="U164" s="4"/>
      <c r="V164" s="4"/>
      <c r="W164" s="4" t="s">
        <v>11</v>
      </c>
      <c r="X164" s="4" t="s">
        <v>1071</v>
      </c>
      <c r="Y164" s="4" t="s">
        <v>1071</v>
      </c>
      <c r="Z164" s="4" t="s">
        <v>1043</v>
      </c>
      <c r="AA164" s="4" t="s">
        <v>1072</v>
      </c>
      <c r="AB164" s="4" t="s">
        <v>1073</v>
      </c>
      <c r="AC164" s="4" t="s">
        <v>1074</v>
      </c>
      <c r="AD164" s="4" t="s">
        <v>17</v>
      </c>
      <c r="AE164" s="4" t="s">
        <v>18</v>
      </c>
      <c r="AF164" s="4" t="s">
        <v>19</v>
      </c>
      <c r="AG164" s="4" t="s">
        <v>19</v>
      </c>
      <c r="AH164" s="4" t="s">
        <v>1073</v>
      </c>
    </row>
    <row r="165" spans="2:34" ht="15">
      <c r="B165" s="1" t="s">
        <v>153</v>
      </c>
      <c r="C165" s="2">
        <v>43580</v>
      </c>
      <c r="D165" s="1" t="s">
        <v>154</v>
      </c>
      <c r="E165" s="1" t="s">
        <v>1075</v>
      </c>
      <c r="F165" s="1" t="s">
        <v>3</v>
      </c>
      <c r="G165" s="1" t="s">
        <v>4</v>
      </c>
      <c r="H165" s="1" t="s">
        <v>325</v>
      </c>
      <c r="I165" s="2">
        <v>43579</v>
      </c>
      <c r="J165" s="3">
        <v>0.3333333333333333</v>
      </c>
      <c r="K165" s="2">
        <v>43584</v>
      </c>
      <c r="L165" s="1" t="s">
        <v>6</v>
      </c>
      <c r="M165" s="1"/>
      <c r="N165" s="1"/>
      <c r="O165" s="1" t="s">
        <v>1065</v>
      </c>
      <c r="P165" s="1" t="s">
        <v>1066</v>
      </c>
      <c r="Q165" s="1" t="s">
        <v>4</v>
      </c>
      <c r="R165" s="1" t="s">
        <v>85</v>
      </c>
      <c r="S165" s="1" t="s">
        <v>85</v>
      </c>
      <c r="T165" s="1"/>
      <c r="U165" s="1"/>
      <c r="V165" s="1"/>
      <c r="W165" s="1" t="s">
        <v>27</v>
      </c>
      <c r="X165" s="1" t="s">
        <v>980</v>
      </c>
      <c r="Y165" s="1" t="s">
        <v>980</v>
      </c>
      <c r="Z165" s="1" t="s">
        <v>1068</v>
      </c>
      <c r="AA165" s="1" t="s">
        <v>1076</v>
      </c>
      <c r="AB165" s="1" t="s">
        <v>1076</v>
      </c>
      <c r="AC165" s="1" t="s">
        <v>17</v>
      </c>
      <c r="AD165" s="1" t="s">
        <v>17</v>
      </c>
      <c r="AE165" s="1" t="s">
        <v>17</v>
      </c>
      <c r="AF165" s="1" t="s">
        <v>19</v>
      </c>
      <c r="AG165" s="1" t="s">
        <v>19</v>
      </c>
      <c r="AH165" s="1" t="s">
        <v>1076</v>
      </c>
    </row>
    <row r="166" spans="2:34" ht="15">
      <c r="B166" s="4" t="s">
        <v>20</v>
      </c>
      <c r="C166" s="5">
        <v>43581</v>
      </c>
      <c r="D166" s="4" t="s">
        <v>21</v>
      </c>
      <c r="E166" s="4" t="s">
        <v>1077</v>
      </c>
      <c r="F166" s="4" t="s">
        <v>3</v>
      </c>
      <c r="G166" s="4" t="s">
        <v>4</v>
      </c>
      <c r="H166" s="4" t="s">
        <v>632</v>
      </c>
      <c r="I166" s="5">
        <v>43580</v>
      </c>
      <c r="J166" s="6">
        <v>0.6443055555555556</v>
      </c>
      <c r="K166" s="5">
        <v>43584</v>
      </c>
      <c r="L166" s="4" t="s">
        <v>6</v>
      </c>
      <c r="M166" s="4"/>
      <c r="N166" s="4" t="s">
        <v>876</v>
      </c>
      <c r="O166" s="4" t="s">
        <v>877</v>
      </c>
      <c r="P166" s="4" t="s">
        <v>878</v>
      </c>
      <c r="Q166" s="4" t="s">
        <v>4</v>
      </c>
      <c r="R166" s="4" t="s">
        <v>4</v>
      </c>
      <c r="S166" s="4" t="s">
        <v>10</v>
      </c>
      <c r="T166" s="4"/>
      <c r="U166" s="4"/>
      <c r="V166" s="4"/>
      <c r="W166" s="4" t="s">
        <v>11</v>
      </c>
      <c r="X166" s="4" t="s">
        <v>1025</v>
      </c>
      <c r="Y166" s="4" t="s">
        <v>1025</v>
      </c>
      <c r="Z166" s="4" t="s">
        <v>1060</v>
      </c>
      <c r="AA166" s="4" t="s">
        <v>1078</v>
      </c>
      <c r="AB166" s="4" t="s">
        <v>1079</v>
      </c>
      <c r="AC166" s="4" t="s">
        <v>1080</v>
      </c>
      <c r="AD166" s="4" t="s">
        <v>17</v>
      </c>
      <c r="AE166" s="4" t="s">
        <v>18</v>
      </c>
      <c r="AF166" s="4" t="s">
        <v>19</v>
      </c>
      <c r="AG166" s="4" t="s">
        <v>19</v>
      </c>
      <c r="AH166" s="4" t="s">
        <v>1079</v>
      </c>
    </row>
    <row r="167" spans="2:34" ht="15">
      <c r="B167" s="1" t="s">
        <v>20</v>
      </c>
      <c r="C167" s="2">
        <v>43584</v>
      </c>
      <c r="D167" s="1" t="s">
        <v>21</v>
      </c>
      <c r="E167" s="1" t="s">
        <v>1064</v>
      </c>
      <c r="F167" s="1" t="s">
        <v>3</v>
      </c>
      <c r="G167" s="1" t="s">
        <v>85</v>
      </c>
      <c r="H167" s="1" t="s">
        <v>325</v>
      </c>
      <c r="I167" s="2">
        <v>43579</v>
      </c>
      <c r="J167" s="3">
        <v>0.3333333333333333</v>
      </c>
      <c r="K167" s="2">
        <v>43584</v>
      </c>
      <c r="L167" s="1" t="s">
        <v>6</v>
      </c>
      <c r="M167" s="1"/>
      <c r="N167" s="1"/>
      <c r="O167" s="1" t="s">
        <v>1065</v>
      </c>
      <c r="P167" s="1" t="s">
        <v>1066</v>
      </c>
      <c r="Q167" s="1" t="s">
        <v>4</v>
      </c>
      <c r="R167" s="1" t="s">
        <v>85</v>
      </c>
      <c r="S167" s="1" t="s">
        <v>85</v>
      </c>
      <c r="T167" s="1"/>
      <c r="U167" s="1"/>
      <c r="V167" s="1"/>
      <c r="W167" s="1" t="s">
        <v>27</v>
      </c>
      <c r="X167" s="1" t="s">
        <v>1067</v>
      </c>
      <c r="Y167" s="1" t="s">
        <v>1067</v>
      </c>
      <c r="Z167" s="1" t="s">
        <v>1068</v>
      </c>
      <c r="AA167" s="1" t="s">
        <v>1069</v>
      </c>
      <c r="AB167" s="1" t="s">
        <v>1069</v>
      </c>
      <c r="AC167" s="1" t="s">
        <v>17</v>
      </c>
      <c r="AD167" s="1" t="s">
        <v>17</v>
      </c>
      <c r="AE167" s="1" t="s">
        <v>17</v>
      </c>
      <c r="AF167" s="1" t="s">
        <v>19</v>
      </c>
      <c r="AG167" s="1" t="s">
        <v>19</v>
      </c>
      <c r="AH167" s="1" t="s">
        <v>1069</v>
      </c>
    </row>
    <row r="168" spans="2:34" ht="15">
      <c r="B168" s="4" t="s">
        <v>20</v>
      </c>
      <c r="C168" s="5">
        <v>43584</v>
      </c>
      <c r="D168" s="4" t="s">
        <v>21</v>
      </c>
      <c r="E168" s="4" t="s">
        <v>1081</v>
      </c>
      <c r="F168" s="4" t="s">
        <v>3</v>
      </c>
      <c r="G168" s="4" t="s">
        <v>4</v>
      </c>
      <c r="H168" s="4" t="s">
        <v>325</v>
      </c>
      <c r="I168" s="5">
        <v>43579</v>
      </c>
      <c r="J168" s="6">
        <v>0.3333333333333333</v>
      </c>
      <c r="K168" s="5">
        <v>43584</v>
      </c>
      <c r="L168" s="4" t="s">
        <v>6</v>
      </c>
      <c r="M168" s="4"/>
      <c r="N168" s="4" t="s">
        <v>1082</v>
      </c>
      <c r="O168" s="4" t="s">
        <v>1065</v>
      </c>
      <c r="P168" s="4" t="s">
        <v>1066</v>
      </c>
      <c r="Q168" s="4" t="s">
        <v>4</v>
      </c>
      <c r="R168" s="4" t="s">
        <v>85</v>
      </c>
      <c r="S168" s="4" t="s">
        <v>4</v>
      </c>
      <c r="T168" s="4"/>
      <c r="U168" s="4"/>
      <c r="V168" s="4"/>
      <c r="W168" s="4" t="s">
        <v>27</v>
      </c>
      <c r="X168" s="4" t="s">
        <v>1067</v>
      </c>
      <c r="Y168" s="4" t="s">
        <v>1067</v>
      </c>
      <c r="Z168" s="4" t="s">
        <v>1068</v>
      </c>
      <c r="AA168" s="4" t="s">
        <v>1069</v>
      </c>
      <c r="AB168" s="4" t="s">
        <v>1069</v>
      </c>
      <c r="AC168" s="4" t="s">
        <v>17</v>
      </c>
      <c r="AD168" s="4" t="s">
        <v>17</v>
      </c>
      <c r="AE168" s="4" t="s">
        <v>17</v>
      </c>
      <c r="AF168" s="4" t="s">
        <v>19</v>
      </c>
      <c r="AG168" s="4" t="s">
        <v>19</v>
      </c>
      <c r="AH168" s="4" t="s">
        <v>1069</v>
      </c>
    </row>
    <row r="169" spans="2:34" ht="15">
      <c r="B169" s="1" t="s">
        <v>20</v>
      </c>
      <c r="C169" s="2">
        <v>43584</v>
      </c>
      <c r="D169" s="1" t="s">
        <v>21</v>
      </c>
      <c r="E169" s="1" t="s">
        <v>1083</v>
      </c>
      <c r="F169" s="1" t="s">
        <v>3</v>
      </c>
      <c r="G169" s="1" t="s">
        <v>4</v>
      </c>
      <c r="H169" s="1" t="s">
        <v>90</v>
      </c>
      <c r="I169" s="2">
        <v>43581</v>
      </c>
      <c r="J169" s="3">
        <v>0.5456134259259259</v>
      </c>
      <c r="K169" s="2">
        <v>43585</v>
      </c>
      <c r="L169" s="1" t="s">
        <v>6</v>
      </c>
      <c r="M169" s="1"/>
      <c r="N169" s="1" t="s">
        <v>307</v>
      </c>
      <c r="O169" s="1" t="s">
        <v>308</v>
      </c>
      <c r="P169" s="1" t="s">
        <v>309</v>
      </c>
      <c r="Q169" s="1" t="s">
        <v>4</v>
      </c>
      <c r="R169" s="1" t="s">
        <v>4</v>
      </c>
      <c r="S169" s="1" t="s">
        <v>10</v>
      </c>
      <c r="T169" s="1"/>
      <c r="U169" s="1"/>
      <c r="V169" s="1"/>
      <c r="W169" s="1" t="s">
        <v>11</v>
      </c>
      <c r="X169" s="1" t="s">
        <v>1084</v>
      </c>
      <c r="Y169" s="1" t="s">
        <v>1084</v>
      </c>
      <c r="Z169" s="1" t="s">
        <v>1085</v>
      </c>
      <c r="AA169" s="1" t="s">
        <v>1086</v>
      </c>
      <c r="AB169" s="1" t="s">
        <v>1087</v>
      </c>
      <c r="AC169" s="1" t="s">
        <v>1088</v>
      </c>
      <c r="AD169" s="1" t="s">
        <v>17</v>
      </c>
      <c r="AE169" s="1" t="s">
        <v>18</v>
      </c>
      <c r="AF169" s="1" t="s">
        <v>19</v>
      </c>
      <c r="AG169" s="1" t="s">
        <v>19</v>
      </c>
      <c r="AH169" s="1" t="s">
        <v>1087</v>
      </c>
    </row>
    <row r="170" spans="2:34" ht="15">
      <c r="B170" s="4" t="s">
        <v>20</v>
      </c>
      <c r="C170" s="5">
        <v>43584</v>
      </c>
      <c r="D170" s="4" t="s">
        <v>21</v>
      </c>
      <c r="E170" s="4" t="s">
        <v>1089</v>
      </c>
      <c r="F170" s="4" t="s">
        <v>3</v>
      </c>
      <c r="G170" s="4" t="s">
        <v>4</v>
      </c>
      <c r="H170" s="4" t="s">
        <v>632</v>
      </c>
      <c r="I170" s="5">
        <v>43581</v>
      </c>
      <c r="J170" s="6">
        <v>0.5984143518518519</v>
      </c>
      <c r="K170" s="5">
        <v>43585</v>
      </c>
      <c r="L170" s="4" t="s">
        <v>6</v>
      </c>
      <c r="M170" s="4"/>
      <c r="N170" s="4" t="s">
        <v>876</v>
      </c>
      <c r="O170" s="4" t="s">
        <v>877</v>
      </c>
      <c r="P170" s="4" t="s">
        <v>878</v>
      </c>
      <c r="Q170" s="4" t="s">
        <v>4</v>
      </c>
      <c r="R170" s="4" t="s">
        <v>4</v>
      </c>
      <c r="S170" s="4" t="s">
        <v>10</v>
      </c>
      <c r="T170" s="4"/>
      <c r="U170" s="4"/>
      <c r="V170" s="4"/>
      <c r="W170" s="4" t="s">
        <v>11</v>
      </c>
      <c r="X170" s="4" t="s">
        <v>1090</v>
      </c>
      <c r="Y170" s="4" t="s">
        <v>1090</v>
      </c>
      <c r="Z170" s="4" t="s">
        <v>1091</v>
      </c>
      <c r="AA170" s="4" t="s">
        <v>1092</v>
      </c>
      <c r="AB170" s="4" t="s">
        <v>1093</v>
      </c>
      <c r="AC170" s="4" t="s">
        <v>1094</v>
      </c>
      <c r="AD170" s="4" t="s">
        <v>17</v>
      </c>
      <c r="AE170" s="4" t="s">
        <v>18</v>
      </c>
      <c r="AF170" s="4" t="s">
        <v>19</v>
      </c>
      <c r="AG170" s="4" t="s">
        <v>19</v>
      </c>
      <c r="AH170" s="4" t="s">
        <v>1093</v>
      </c>
    </row>
    <row r="171" spans="2:34" ht="15">
      <c r="B171" s="1" t="s">
        <v>153</v>
      </c>
      <c r="C171" s="2">
        <v>43584</v>
      </c>
      <c r="D171" s="1" t="s">
        <v>154</v>
      </c>
      <c r="E171" s="1" t="s">
        <v>1075</v>
      </c>
      <c r="F171" s="1" t="s">
        <v>3</v>
      </c>
      <c r="G171" s="1" t="s">
        <v>85</v>
      </c>
      <c r="H171" s="1" t="s">
        <v>325</v>
      </c>
      <c r="I171" s="2">
        <v>43579</v>
      </c>
      <c r="J171" s="3">
        <v>0.3333333333333333</v>
      </c>
      <c r="K171" s="2">
        <v>43584</v>
      </c>
      <c r="L171" s="1" t="s">
        <v>6</v>
      </c>
      <c r="M171" s="1"/>
      <c r="N171" s="1"/>
      <c r="O171" s="1" t="s">
        <v>1065</v>
      </c>
      <c r="P171" s="1" t="s">
        <v>1066</v>
      </c>
      <c r="Q171" s="1" t="s">
        <v>4</v>
      </c>
      <c r="R171" s="1" t="s">
        <v>85</v>
      </c>
      <c r="S171" s="1" t="s">
        <v>85</v>
      </c>
      <c r="T171" s="1"/>
      <c r="U171" s="1"/>
      <c r="V171" s="1"/>
      <c r="W171" s="1" t="s">
        <v>27</v>
      </c>
      <c r="X171" s="1" t="s">
        <v>980</v>
      </c>
      <c r="Y171" s="1" t="s">
        <v>980</v>
      </c>
      <c r="Z171" s="1" t="s">
        <v>1068</v>
      </c>
      <c r="AA171" s="1" t="s">
        <v>1076</v>
      </c>
      <c r="AB171" s="1" t="s">
        <v>1076</v>
      </c>
      <c r="AC171" s="1" t="s">
        <v>17</v>
      </c>
      <c r="AD171" s="1" t="s">
        <v>17</v>
      </c>
      <c r="AE171" s="1" t="s">
        <v>17</v>
      </c>
      <c r="AF171" s="1" t="s">
        <v>19</v>
      </c>
      <c r="AG171" s="1" t="s">
        <v>19</v>
      </c>
      <c r="AH171" s="1" t="s">
        <v>1076</v>
      </c>
    </row>
    <row r="172" spans="2:34" ht="15">
      <c r="B172" s="4" t="s">
        <v>153</v>
      </c>
      <c r="C172" s="5">
        <v>43584</v>
      </c>
      <c r="D172" s="4" t="s">
        <v>154</v>
      </c>
      <c r="E172" s="4" t="s">
        <v>1095</v>
      </c>
      <c r="F172" s="4" t="s">
        <v>3</v>
      </c>
      <c r="G172" s="4" t="s">
        <v>4</v>
      </c>
      <c r="H172" s="4" t="s">
        <v>325</v>
      </c>
      <c r="I172" s="5">
        <v>43579</v>
      </c>
      <c r="J172" s="6">
        <v>0.3333333333333333</v>
      </c>
      <c r="K172" s="5">
        <v>43584</v>
      </c>
      <c r="L172" s="4" t="s">
        <v>6</v>
      </c>
      <c r="M172" s="4"/>
      <c r="N172" s="4" t="s">
        <v>1082</v>
      </c>
      <c r="O172" s="4" t="s">
        <v>1065</v>
      </c>
      <c r="P172" s="4" t="s">
        <v>1066</v>
      </c>
      <c r="Q172" s="4" t="s">
        <v>4</v>
      </c>
      <c r="R172" s="4" t="s">
        <v>85</v>
      </c>
      <c r="S172" s="4" t="s">
        <v>4</v>
      </c>
      <c r="T172" s="4"/>
      <c r="U172" s="4"/>
      <c r="V172" s="4"/>
      <c r="W172" s="4" t="s">
        <v>27</v>
      </c>
      <c r="X172" s="4" t="s">
        <v>980</v>
      </c>
      <c r="Y172" s="4" t="s">
        <v>980</v>
      </c>
      <c r="Z172" s="4" t="s">
        <v>1068</v>
      </c>
      <c r="AA172" s="4" t="s">
        <v>1076</v>
      </c>
      <c r="AB172" s="4" t="s">
        <v>1076</v>
      </c>
      <c r="AC172" s="4" t="s">
        <v>17</v>
      </c>
      <c r="AD172" s="4" t="s">
        <v>17</v>
      </c>
      <c r="AE172" s="4" t="s">
        <v>17</v>
      </c>
      <c r="AF172" s="4" t="s">
        <v>19</v>
      </c>
      <c r="AG172" s="4" t="s">
        <v>19</v>
      </c>
      <c r="AH172" s="4" t="s">
        <v>1076</v>
      </c>
    </row>
    <row r="173" spans="2:34" ht="15">
      <c r="B173" s="1" t="s">
        <v>20</v>
      </c>
      <c r="C173" s="2">
        <v>43585</v>
      </c>
      <c r="D173" s="1" t="s">
        <v>21</v>
      </c>
      <c r="E173" s="1" t="s">
        <v>1096</v>
      </c>
      <c r="F173" s="1" t="s">
        <v>3</v>
      </c>
      <c r="G173" s="1" t="s">
        <v>4</v>
      </c>
      <c r="H173" s="1" t="s">
        <v>183</v>
      </c>
      <c r="I173" s="2">
        <v>43584</v>
      </c>
      <c r="J173" s="3">
        <v>0.4618055555555556</v>
      </c>
      <c r="K173" s="2">
        <v>43586</v>
      </c>
      <c r="L173" s="1" t="s">
        <v>6</v>
      </c>
      <c r="M173" s="1"/>
      <c r="N173" s="1" t="s">
        <v>538</v>
      </c>
      <c r="O173" s="1" t="s">
        <v>539</v>
      </c>
      <c r="P173" s="1" t="s">
        <v>540</v>
      </c>
      <c r="Q173" s="1" t="s">
        <v>4</v>
      </c>
      <c r="R173" s="1" t="s">
        <v>4</v>
      </c>
      <c r="S173" s="1" t="s">
        <v>10</v>
      </c>
      <c r="T173" s="1"/>
      <c r="U173" s="1"/>
      <c r="V173" s="1"/>
      <c r="W173" s="1" t="s">
        <v>11</v>
      </c>
      <c r="X173" s="1" t="s">
        <v>1097</v>
      </c>
      <c r="Y173" s="1" t="s">
        <v>1097</v>
      </c>
      <c r="Z173" s="1" t="s">
        <v>1098</v>
      </c>
      <c r="AA173" s="1" t="s">
        <v>1099</v>
      </c>
      <c r="AB173" s="1" t="s">
        <v>1100</v>
      </c>
      <c r="AC173" s="1" t="s">
        <v>1101</v>
      </c>
      <c r="AD173" s="1" t="s">
        <v>17</v>
      </c>
      <c r="AE173" s="1" t="s">
        <v>18</v>
      </c>
      <c r="AF173" s="1" t="s">
        <v>19</v>
      </c>
      <c r="AG173" s="1" t="s">
        <v>19</v>
      </c>
      <c r="AH173" s="1" t="s">
        <v>1100</v>
      </c>
    </row>
    <row r="174" spans="2:34" ht="15">
      <c r="B174" s="4" t="s">
        <v>20</v>
      </c>
      <c r="C174" s="5">
        <v>43585</v>
      </c>
      <c r="D174" s="4" t="s">
        <v>21</v>
      </c>
      <c r="E174" s="4" t="s">
        <v>1102</v>
      </c>
      <c r="F174" s="4" t="s">
        <v>3</v>
      </c>
      <c r="G174" s="4" t="s">
        <v>4</v>
      </c>
      <c r="H174" s="4" t="s">
        <v>119</v>
      </c>
      <c r="I174" s="5">
        <v>43584</v>
      </c>
      <c r="J174" s="6">
        <v>0.6673842592592593</v>
      </c>
      <c r="K174" s="5">
        <v>43586</v>
      </c>
      <c r="L174" s="4" t="s">
        <v>6</v>
      </c>
      <c r="M174" s="4"/>
      <c r="N174" s="4" t="s">
        <v>950</v>
      </c>
      <c r="O174" s="4" t="s">
        <v>951</v>
      </c>
      <c r="P174" s="4" t="s">
        <v>952</v>
      </c>
      <c r="Q174" s="4" t="s">
        <v>4</v>
      </c>
      <c r="R174" s="4" t="s">
        <v>4</v>
      </c>
      <c r="S174" s="4" t="s">
        <v>10</v>
      </c>
      <c r="T174" s="4"/>
      <c r="U174" s="4"/>
      <c r="V174" s="4"/>
      <c r="W174" s="4" t="s">
        <v>11</v>
      </c>
      <c r="X174" s="4" t="s">
        <v>1103</v>
      </c>
      <c r="Y174" s="4" t="s">
        <v>1103</v>
      </c>
      <c r="Z174" s="4" t="s">
        <v>1104</v>
      </c>
      <c r="AA174" s="4" t="s">
        <v>1105</v>
      </c>
      <c r="AB174" s="4" t="s">
        <v>1106</v>
      </c>
      <c r="AC174" s="4" t="s">
        <v>1107</v>
      </c>
      <c r="AD174" s="4" t="s">
        <v>17</v>
      </c>
      <c r="AE174" s="4" t="s">
        <v>17</v>
      </c>
      <c r="AF174" s="4" t="s">
        <v>19</v>
      </c>
      <c r="AG174" s="4" t="s">
        <v>19</v>
      </c>
      <c r="AH174" s="4" t="s">
        <v>1106</v>
      </c>
    </row>
    <row r="175" spans="2:34" ht="15">
      <c r="B175" s="1" t="s">
        <v>20</v>
      </c>
      <c r="C175" s="2">
        <v>43585</v>
      </c>
      <c r="D175" s="1" t="s">
        <v>21</v>
      </c>
      <c r="E175" s="1" t="s">
        <v>1108</v>
      </c>
      <c r="F175" s="1" t="s">
        <v>3</v>
      </c>
      <c r="G175" s="1" t="s">
        <v>4</v>
      </c>
      <c r="H175" s="1" t="s">
        <v>23</v>
      </c>
      <c r="I175" s="2">
        <v>43585</v>
      </c>
      <c r="J175" s="3">
        <v>0.3333333333333333</v>
      </c>
      <c r="K175" s="2">
        <v>43587</v>
      </c>
      <c r="L175" s="1" t="s">
        <v>6</v>
      </c>
      <c r="M175" s="1"/>
      <c r="N175" s="1"/>
      <c r="O175" s="1" t="s">
        <v>1109</v>
      </c>
      <c r="P175" s="1" t="s">
        <v>1110</v>
      </c>
      <c r="Q175" s="1" t="s">
        <v>4</v>
      </c>
      <c r="R175" s="1" t="s">
        <v>85</v>
      </c>
      <c r="S175" s="1" t="s">
        <v>85</v>
      </c>
      <c r="T175" s="1"/>
      <c r="U175" s="1"/>
      <c r="V175" s="1"/>
      <c r="W175" s="1" t="s">
        <v>27</v>
      </c>
      <c r="X175" s="1" t="s">
        <v>1111</v>
      </c>
      <c r="Y175" s="1" t="s">
        <v>1111</v>
      </c>
      <c r="Z175" s="1" t="s">
        <v>1112</v>
      </c>
      <c r="AA175" s="1" t="s">
        <v>1113</v>
      </c>
      <c r="AB175" s="1" t="s">
        <v>1113</v>
      </c>
      <c r="AC175" s="1" t="s">
        <v>17</v>
      </c>
      <c r="AD175" s="1" t="s">
        <v>17</v>
      </c>
      <c r="AE175" s="1" t="s">
        <v>17</v>
      </c>
      <c r="AF175" s="1" t="s">
        <v>19</v>
      </c>
      <c r="AG175" s="1" t="s">
        <v>19</v>
      </c>
      <c r="AH175" s="1" t="s">
        <v>1113</v>
      </c>
    </row>
    <row r="176" spans="2:34" ht="15">
      <c r="B176" s="4" t="s">
        <v>0</v>
      </c>
      <c r="C176" s="5">
        <v>43585</v>
      </c>
      <c r="D176" s="4" t="s">
        <v>1</v>
      </c>
      <c r="E176" s="4" t="s">
        <v>1114</v>
      </c>
      <c r="F176" s="4" t="s">
        <v>3</v>
      </c>
      <c r="G176" s="4" t="s">
        <v>4</v>
      </c>
      <c r="H176" s="4" t="s">
        <v>119</v>
      </c>
      <c r="I176" s="5">
        <v>43584</v>
      </c>
      <c r="J176" s="6">
        <v>0.6673842592592593</v>
      </c>
      <c r="K176" s="5">
        <v>43586</v>
      </c>
      <c r="L176" s="4" t="s">
        <v>6</v>
      </c>
      <c r="M176" s="4"/>
      <c r="N176" s="4" t="s">
        <v>950</v>
      </c>
      <c r="O176" s="4" t="s">
        <v>951</v>
      </c>
      <c r="P176" s="4" t="s">
        <v>952</v>
      </c>
      <c r="Q176" s="4" t="s">
        <v>4</v>
      </c>
      <c r="R176" s="4" t="s">
        <v>4</v>
      </c>
      <c r="S176" s="4" t="s">
        <v>10</v>
      </c>
      <c r="T176" s="4"/>
      <c r="U176" s="4"/>
      <c r="V176" s="4"/>
      <c r="W176" s="4" t="s">
        <v>11</v>
      </c>
      <c r="X176" s="4" t="s">
        <v>1115</v>
      </c>
      <c r="Y176" s="4" t="s">
        <v>1115</v>
      </c>
      <c r="Z176" s="4" t="s">
        <v>1104</v>
      </c>
      <c r="AA176" s="4" t="s">
        <v>1116</v>
      </c>
      <c r="AB176" s="4" t="s">
        <v>1117</v>
      </c>
      <c r="AC176" s="4" t="s">
        <v>1118</v>
      </c>
      <c r="AD176" s="4" t="s">
        <v>17</v>
      </c>
      <c r="AE176" s="4" t="s">
        <v>17</v>
      </c>
      <c r="AF176" s="4" t="s">
        <v>19</v>
      </c>
      <c r="AG176" s="4" t="s">
        <v>19</v>
      </c>
      <c r="AH176" s="4" t="s">
        <v>1117</v>
      </c>
    </row>
    <row r="177" spans="2:34" ht="15">
      <c r="B177" s="11" t="s">
        <v>0</v>
      </c>
      <c r="C177" s="12">
        <v>43585</v>
      </c>
      <c r="D177" s="11" t="s">
        <v>1</v>
      </c>
      <c r="E177" s="11" t="s">
        <v>1119</v>
      </c>
      <c r="F177" s="11" t="s">
        <v>3</v>
      </c>
      <c r="G177" s="11" t="s">
        <v>4</v>
      </c>
      <c r="H177" s="11" t="s">
        <v>119</v>
      </c>
      <c r="I177" s="12">
        <v>43585</v>
      </c>
      <c r="J177" s="13">
        <v>0.4008101851851852</v>
      </c>
      <c r="K177" s="12">
        <v>43587</v>
      </c>
      <c r="L177" s="11" t="s">
        <v>6</v>
      </c>
      <c r="M177" s="11"/>
      <c r="N177" s="11" t="s">
        <v>663</v>
      </c>
      <c r="O177" s="11" t="s">
        <v>664</v>
      </c>
      <c r="P177" s="11" t="s">
        <v>665</v>
      </c>
      <c r="Q177" s="11" t="s">
        <v>4</v>
      </c>
      <c r="R177" s="11" t="s">
        <v>4</v>
      </c>
      <c r="S177" s="11" t="s">
        <v>10</v>
      </c>
      <c r="T177" s="11"/>
      <c r="U177" s="11"/>
      <c r="V177" s="11"/>
      <c r="W177" s="11" t="s">
        <v>27</v>
      </c>
      <c r="X177" s="11" t="s">
        <v>1120</v>
      </c>
      <c r="Y177" s="11" t="s">
        <v>1120</v>
      </c>
      <c r="Z177" s="11" t="s">
        <v>1121</v>
      </c>
      <c r="AA177" s="11" t="s">
        <v>1122</v>
      </c>
      <c r="AB177" s="11" t="s">
        <v>1123</v>
      </c>
      <c r="AC177" s="11" t="s">
        <v>1124</v>
      </c>
      <c r="AD177" s="11" t="s">
        <v>17</v>
      </c>
      <c r="AE177" s="11" t="s">
        <v>1125</v>
      </c>
      <c r="AF177" s="11" t="s">
        <v>19</v>
      </c>
      <c r="AG177" s="11" t="s">
        <v>19</v>
      </c>
      <c r="AH177" s="11" t="s">
        <v>1123</v>
      </c>
    </row>
    <row r="178" spans="2:34" ht="15">
      <c r="B178" s="1" t="s">
        <v>20</v>
      </c>
      <c r="C178" s="2">
        <v>43586</v>
      </c>
      <c r="D178" s="1" t="s">
        <v>21</v>
      </c>
      <c r="E178" s="1" t="s">
        <v>1126</v>
      </c>
      <c r="F178" s="1" t="s">
        <v>3</v>
      </c>
      <c r="G178" s="1" t="s">
        <v>4</v>
      </c>
      <c r="H178" s="1" t="s">
        <v>119</v>
      </c>
      <c r="I178" s="2">
        <v>43585</v>
      </c>
      <c r="J178" s="3">
        <v>0.5621643518518519</v>
      </c>
      <c r="K178" s="2">
        <v>43587</v>
      </c>
      <c r="L178" s="1" t="s">
        <v>6</v>
      </c>
      <c r="M178" s="1"/>
      <c r="N178" s="1" t="s">
        <v>1127</v>
      </c>
      <c r="O178" s="1" t="s">
        <v>1128</v>
      </c>
      <c r="P178" s="1" t="s">
        <v>1129</v>
      </c>
      <c r="Q178" s="1" t="s">
        <v>4</v>
      </c>
      <c r="R178" s="1" t="s">
        <v>4</v>
      </c>
      <c r="S178" s="1" t="s">
        <v>10</v>
      </c>
      <c r="T178" s="1"/>
      <c r="U178" s="1"/>
      <c r="V178" s="1"/>
      <c r="W178" s="1" t="s">
        <v>11</v>
      </c>
      <c r="X178" s="1" t="s">
        <v>1130</v>
      </c>
      <c r="Y178" s="1" t="s">
        <v>1130</v>
      </c>
      <c r="Z178" s="1" t="s">
        <v>1131</v>
      </c>
      <c r="AA178" s="1" t="s">
        <v>1132</v>
      </c>
      <c r="AB178" s="1" t="s">
        <v>1133</v>
      </c>
      <c r="AC178" s="1" t="s">
        <v>1134</v>
      </c>
      <c r="AD178" s="1" t="s">
        <v>17</v>
      </c>
      <c r="AE178" s="1" t="s">
        <v>18</v>
      </c>
      <c r="AF178" s="1" t="s">
        <v>19</v>
      </c>
      <c r="AG178" s="1" t="s">
        <v>19</v>
      </c>
      <c r="AH178" s="1" t="s">
        <v>1133</v>
      </c>
    </row>
    <row r="179" spans="2:34" ht="15">
      <c r="B179" s="4" t="s">
        <v>0</v>
      </c>
      <c r="C179" s="5">
        <v>43586</v>
      </c>
      <c r="D179" s="4" t="s">
        <v>1</v>
      </c>
      <c r="E179" s="4" t="s">
        <v>1135</v>
      </c>
      <c r="F179" s="4" t="s">
        <v>3</v>
      </c>
      <c r="G179" s="4" t="s">
        <v>4</v>
      </c>
      <c r="H179" s="4" t="s">
        <v>119</v>
      </c>
      <c r="I179" s="5">
        <v>43585</v>
      </c>
      <c r="J179" s="6">
        <v>0.49774305555555554</v>
      </c>
      <c r="K179" s="5">
        <v>43587</v>
      </c>
      <c r="L179" s="4" t="s">
        <v>6</v>
      </c>
      <c r="M179" s="4"/>
      <c r="N179" s="4" t="s">
        <v>110</v>
      </c>
      <c r="O179" s="4" t="s">
        <v>111</v>
      </c>
      <c r="P179" s="4" t="s">
        <v>112</v>
      </c>
      <c r="Q179" s="4" t="s">
        <v>4</v>
      </c>
      <c r="R179" s="4" t="s">
        <v>4</v>
      </c>
      <c r="S179" s="4" t="s">
        <v>10</v>
      </c>
      <c r="T179" s="4"/>
      <c r="U179" s="4"/>
      <c r="V179" s="4"/>
      <c r="W179" s="4" t="s">
        <v>11</v>
      </c>
      <c r="X179" s="4" t="s">
        <v>1136</v>
      </c>
      <c r="Y179" s="4" t="s">
        <v>1136</v>
      </c>
      <c r="Z179" s="4" t="s">
        <v>1137</v>
      </c>
      <c r="AA179" s="4" t="s">
        <v>1138</v>
      </c>
      <c r="AB179" s="4" t="s">
        <v>1139</v>
      </c>
      <c r="AC179" s="4" t="s">
        <v>1140</v>
      </c>
      <c r="AD179" s="4" t="s">
        <v>17</v>
      </c>
      <c r="AE179" s="4" t="s">
        <v>18</v>
      </c>
      <c r="AF179" s="4" t="s">
        <v>19</v>
      </c>
      <c r="AG179" s="4" t="s">
        <v>19</v>
      </c>
      <c r="AH179" s="4" t="s">
        <v>1139</v>
      </c>
    </row>
    <row r="180" spans="2:34" ht="15">
      <c r="B180" s="1" t="s">
        <v>153</v>
      </c>
      <c r="C180" s="2">
        <v>43586</v>
      </c>
      <c r="D180" s="1" t="s">
        <v>154</v>
      </c>
      <c r="E180" s="1" t="s">
        <v>1141</v>
      </c>
      <c r="F180" s="1" t="s">
        <v>3</v>
      </c>
      <c r="G180" s="1" t="s">
        <v>4</v>
      </c>
      <c r="H180" s="1" t="s">
        <v>23</v>
      </c>
      <c r="I180" s="2">
        <v>43585</v>
      </c>
      <c r="J180" s="3">
        <v>0.4784953703703704</v>
      </c>
      <c r="K180" s="2">
        <v>43587</v>
      </c>
      <c r="L180" s="1" t="s">
        <v>6</v>
      </c>
      <c r="M180" s="1"/>
      <c r="N180" s="1" t="s">
        <v>145</v>
      </c>
      <c r="O180" s="1" t="s">
        <v>146</v>
      </c>
      <c r="P180" s="1" t="s">
        <v>147</v>
      </c>
      <c r="Q180" s="1" t="s">
        <v>4</v>
      </c>
      <c r="R180" s="1" t="s">
        <v>4</v>
      </c>
      <c r="S180" s="1" t="s">
        <v>10</v>
      </c>
      <c r="T180" s="1"/>
      <c r="U180" s="1"/>
      <c r="V180" s="1"/>
      <c r="W180" s="1" t="s">
        <v>11</v>
      </c>
      <c r="X180" s="1" t="s">
        <v>1142</v>
      </c>
      <c r="Y180" s="1" t="s">
        <v>1142</v>
      </c>
      <c r="Z180" s="1" t="s">
        <v>1143</v>
      </c>
      <c r="AA180" s="1" t="s">
        <v>1144</v>
      </c>
      <c r="AB180" s="1" t="s">
        <v>1145</v>
      </c>
      <c r="AC180" s="1" t="s">
        <v>1146</v>
      </c>
      <c r="AD180" s="1" t="s">
        <v>17</v>
      </c>
      <c r="AE180" s="1" t="s">
        <v>18</v>
      </c>
      <c r="AF180" s="1" t="s">
        <v>19</v>
      </c>
      <c r="AG180" s="1" t="s">
        <v>19</v>
      </c>
      <c r="AH180" s="1" t="s">
        <v>1145</v>
      </c>
    </row>
    <row r="181" spans="2:34" ht="15">
      <c r="B181" s="4" t="s">
        <v>153</v>
      </c>
      <c r="C181" s="5">
        <v>43586</v>
      </c>
      <c r="D181" s="4" t="s">
        <v>154</v>
      </c>
      <c r="E181" s="4" t="s">
        <v>1147</v>
      </c>
      <c r="F181" s="4" t="s">
        <v>3</v>
      </c>
      <c r="G181" s="4" t="s">
        <v>4</v>
      </c>
      <c r="H181" s="4" t="s">
        <v>119</v>
      </c>
      <c r="I181" s="5">
        <v>43585</v>
      </c>
      <c r="J181" s="6">
        <v>0.47880787037037037</v>
      </c>
      <c r="K181" s="5">
        <v>43587</v>
      </c>
      <c r="L181" s="4" t="s">
        <v>6</v>
      </c>
      <c r="M181" s="4"/>
      <c r="N181" s="4" t="s">
        <v>977</v>
      </c>
      <c r="O181" s="4" t="s">
        <v>978</v>
      </c>
      <c r="P181" s="4" t="s">
        <v>979</v>
      </c>
      <c r="Q181" s="4" t="s">
        <v>4</v>
      </c>
      <c r="R181" s="4" t="s">
        <v>4</v>
      </c>
      <c r="S181" s="4" t="s">
        <v>10</v>
      </c>
      <c r="T181" s="4"/>
      <c r="U181" s="4"/>
      <c r="V181" s="4"/>
      <c r="W181" s="4" t="s">
        <v>27</v>
      </c>
      <c r="X181" s="4" t="s">
        <v>762</v>
      </c>
      <c r="Y181" s="4" t="s">
        <v>762</v>
      </c>
      <c r="Z181" s="4" t="s">
        <v>1148</v>
      </c>
      <c r="AA181" s="4" t="s">
        <v>1149</v>
      </c>
      <c r="AB181" s="4" t="s">
        <v>1150</v>
      </c>
      <c r="AC181" s="4" t="s">
        <v>1151</v>
      </c>
      <c r="AD181" s="4" t="s">
        <v>17</v>
      </c>
      <c r="AE181" s="4" t="s">
        <v>1152</v>
      </c>
      <c r="AF181" s="4" t="s">
        <v>19</v>
      </c>
      <c r="AG181" s="4" t="s">
        <v>19</v>
      </c>
      <c r="AH181" s="4" t="s">
        <v>1150</v>
      </c>
    </row>
    <row r="182" spans="2:34" ht="15">
      <c r="B182" s="1" t="s">
        <v>20</v>
      </c>
      <c r="C182" s="2">
        <v>43587</v>
      </c>
      <c r="D182" s="1" t="s">
        <v>21</v>
      </c>
      <c r="E182" s="1" t="s">
        <v>1108</v>
      </c>
      <c r="F182" s="1" t="s">
        <v>3</v>
      </c>
      <c r="G182" s="1" t="s">
        <v>85</v>
      </c>
      <c r="H182" s="1" t="s">
        <v>23</v>
      </c>
      <c r="I182" s="2">
        <v>43585</v>
      </c>
      <c r="J182" s="3">
        <v>0.3333333333333333</v>
      </c>
      <c r="K182" s="2">
        <v>43587</v>
      </c>
      <c r="L182" s="1" t="s">
        <v>6</v>
      </c>
      <c r="M182" s="1"/>
      <c r="N182" s="1"/>
      <c r="O182" s="1" t="s">
        <v>1109</v>
      </c>
      <c r="P182" s="1" t="s">
        <v>1110</v>
      </c>
      <c r="Q182" s="1" t="s">
        <v>4</v>
      </c>
      <c r="R182" s="1" t="s">
        <v>85</v>
      </c>
      <c r="S182" s="1" t="s">
        <v>85</v>
      </c>
      <c r="T182" s="1"/>
      <c r="U182" s="1"/>
      <c r="V182" s="1"/>
      <c r="W182" s="1" t="s">
        <v>27</v>
      </c>
      <c r="X182" s="1" t="s">
        <v>1111</v>
      </c>
      <c r="Y182" s="1" t="s">
        <v>1111</v>
      </c>
      <c r="Z182" s="1" t="s">
        <v>1112</v>
      </c>
      <c r="AA182" s="1" t="s">
        <v>1113</v>
      </c>
      <c r="AB182" s="1" t="s">
        <v>1113</v>
      </c>
      <c r="AC182" s="1" t="s">
        <v>17</v>
      </c>
      <c r="AD182" s="1" t="s">
        <v>17</v>
      </c>
      <c r="AE182" s="1" t="s">
        <v>17</v>
      </c>
      <c r="AF182" s="1" t="s">
        <v>19</v>
      </c>
      <c r="AG182" s="1" t="s">
        <v>19</v>
      </c>
      <c r="AH182" s="1" t="s">
        <v>1113</v>
      </c>
    </row>
    <row r="183" spans="2:34" ht="15">
      <c r="B183" s="4" t="s">
        <v>20</v>
      </c>
      <c r="C183" s="5">
        <v>43587</v>
      </c>
      <c r="D183" s="4" t="s">
        <v>21</v>
      </c>
      <c r="E183" s="4" t="s">
        <v>1153</v>
      </c>
      <c r="F183" s="4" t="s">
        <v>3</v>
      </c>
      <c r="G183" s="4" t="s">
        <v>4</v>
      </c>
      <c r="H183" s="4" t="s">
        <v>23</v>
      </c>
      <c r="I183" s="5">
        <v>43585</v>
      </c>
      <c r="J183" s="6">
        <v>0.3333333333333333</v>
      </c>
      <c r="K183" s="5">
        <v>43587</v>
      </c>
      <c r="L183" s="4" t="s">
        <v>6</v>
      </c>
      <c r="M183" s="4"/>
      <c r="N183" s="4" t="s">
        <v>1154</v>
      </c>
      <c r="O183" s="4" t="s">
        <v>1109</v>
      </c>
      <c r="P183" s="4" t="s">
        <v>1110</v>
      </c>
      <c r="Q183" s="4" t="s">
        <v>4</v>
      </c>
      <c r="R183" s="4" t="s">
        <v>85</v>
      </c>
      <c r="S183" s="4" t="s">
        <v>4</v>
      </c>
      <c r="T183" s="4"/>
      <c r="U183" s="4"/>
      <c r="V183" s="4"/>
      <c r="W183" s="4" t="s">
        <v>27</v>
      </c>
      <c r="X183" s="4" t="s">
        <v>1111</v>
      </c>
      <c r="Y183" s="4" t="s">
        <v>1111</v>
      </c>
      <c r="Z183" s="4" t="s">
        <v>1112</v>
      </c>
      <c r="AA183" s="4" t="s">
        <v>1113</v>
      </c>
      <c r="AB183" s="4" t="s">
        <v>1113</v>
      </c>
      <c r="AC183" s="4" t="s">
        <v>17</v>
      </c>
      <c r="AD183" s="4" t="s">
        <v>17</v>
      </c>
      <c r="AE183" s="4" t="s">
        <v>17</v>
      </c>
      <c r="AF183" s="4" t="s">
        <v>19</v>
      </c>
      <c r="AG183" s="4" t="s">
        <v>19</v>
      </c>
      <c r="AH183" s="4" t="s">
        <v>1113</v>
      </c>
    </row>
    <row r="184" spans="2:34" ht="15">
      <c r="B184" s="1" t="s">
        <v>20</v>
      </c>
      <c r="C184" s="2">
        <v>43587</v>
      </c>
      <c r="D184" s="1" t="s">
        <v>21</v>
      </c>
      <c r="E184" s="1" t="s">
        <v>1155</v>
      </c>
      <c r="F184" s="1" t="s">
        <v>3</v>
      </c>
      <c r="G184" s="1" t="s">
        <v>4</v>
      </c>
      <c r="H184" s="1" t="s">
        <v>632</v>
      </c>
      <c r="I184" s="2">
        <v>43586</v>
      </c>
      <c r="J184" s="3">
        <v>0.36994212962962963</v>
      </c>
      <c r="K184" s="2">
        <v>43588</v>
      </c>
      <c r="L184" s="1" t="s">
        <v>6</v>
      </c>
      <c r="M184" s="1"/>
      <c r="N184" s="1" t="s">
        <v>1127</v>
      </c>
      <c r="O184" s="1" t="s">
        <v>1128</v>
      </c>
      <c r="P184" s="1" t="s">
        <v>1129</v>
      </c>
      <c r="Q184" s="1" t="s">
        <v>4</v>
      </c>
      <c r="R184" s="1" t="s">
        <v>4</v>
      </c>
      <c r="S184" s="1" t="s">
        <v>10</v>
      </c>
      <c r="T184" s="1"/>
      <c r="U184" s="1"/>
      <c r="V184" s="1"/>
      <c r="W184" s="1" t="s">
        <v>11</v>
      </c>
      <c r="X184" s="1" t="s">
        <v>1044</v>
      </c>
      <c r="Y184" s="1" t="s">
        <v>1044</v>
      </c>
      <c r="Z184" s="1" t="s">
        <v>1156</v>
      </c>
      <c r="AA184" s="1" t="s">
        <v>1157</v>
      </c>
      <c r="AB184" s="1" t="s">
        <v>1158</v>
      </c>
      <c r="AC184" s="1" t="s">
        <v>1159</v>
      </c>
      <c r="AD184" s="1" t="s">
        <v>17</v>
      </c>
      <c r="AE184" s="1" t="s">
        <v>18</v>
      </c>
      <c r="AF184" s="1" t="s">
        <v>19</v>
      </c>
      <c r="AG184" s="1" t="s">
        <v>19</v>
      </c>
      <c r="AH184" s="1" t="s">
        <v>1158</v>
      </c>
    </row>
    <row r="185" spans="2:34" ht="15">
      <c r="B185" s="4" t="s">
        <v>20</v>
      </c>
      <c r="C185" s="5">
        <v>43587</v>
      </c>
      <c r="D185" s="4" t="s">
        <v>21</v>
      </c>
      <c r="E185" s="4" t="s">
        <v>1160</v>
      </c>
      <c r="F185" s="4" t="s">
        <v>3</v>
      </c>
      <c r="G185" s="4" t="s">
        <v>4</v>
      </c>
      <c r="H185" s="4" t="s">
        <v>119</v>
      </c>
      <c r="I185" s="5">
        <v>43586</v>
      </c>
      <c r="J185" s="6">
        <v>0.6665162037037037</v>
      </c>
      <c r="K185" s="5">
        <v>43588</v>
      </c>
      <c r="L185" s="4" t="s">
        <v>6</v>
      </c>
      <c r="M185" s="4"/>
      <c r="N185" s="4" t="s">
        <v>1127</v>
      </c>
      <c r="O185" s="4" t="s">
        <v>1128</v>
      </c>
      <c r="P185" s="4" t="s">
        <v>1129</v>
      </c>
      <c r="Q185" s="4" t="s">
        <v>4</v>
      </c>
      <c r="R185" s="4" t="s">
        <v>4</v>
      </c>
      <c r="S185" s="4" t="s">
        <v>10</v>
      </c>
      <c r="T185" s="4"/>
      <c r="U185" s="4"/>
      <c r="V185" s="4"/>
      <c r="W185" s="4" t="s">
        <v>11</v>
      </c>
      <c r="X185" s="4" t="s">
        <v>197</v>
      </c>
      <c r="Y185" s="4" t="s">
        <v>197</v>
      </c>
      <c r="Z185" s="4" t="s">
        <v>1131</v>
      </c>
      <c r="AA185" s="4" t="s">
        <v>1161</v>
      </c>
      <c r="AB185" s="4" t="s">
        <v>1162</v>
      </c>
      <c r="AC185" s="4" t="s">
        <v>1163</v>
      </c>
      <c r="AD185" s="4" t="s">
        <v>17</v>
      </c>
      <c r="AE185" s="4" t="s">
        <v>18</v>
      </c>
      <c r="AF185" s="4" t="s">
        <v>19</v>
      </c>
      <c r="AG185" s="4" t="s">
        <v>19</v>
      </c>
      <c r="AH185" s="4" t="s">
        <v>1162</v>
      </c>
    </row>
    <row r="186" spans="2:34" ht="15">
      <c r="B186" s="1" t="s">
        <v>0</v>
      </c>
      <c r="C186" s="2">
        <v>43587</v>
      </c>
      <c r="D186" s="1" t="s">
        <v>1</v>
      </c>
      <c r="E186" s="1" t="s">
        <v>1164</v>
      </c>
      <c r="F186" s="1" t="s">
        <v>3</v>
      </c>
      <c r="G186" s="1" t="s">
        <v>4</v>
      </c>
      <c r="H186" s="1" t="s">
        <v>119</v>
      </c>
      <c r="I186" s="2">
        <v>43586</v>
      </c>
      <c r="J186" s="3">
        <v>0.6445601851851852</v>
      </c>
      <c r="K186" s="2">
        <v>43588</v>
      </c>
      <c r="L186" s="1" t="s">
        <v>6</v>
      </c>
      <c r="M186" s="1"/>
      <c r="N186" s="1" t="s">
        <v>110</v>
      </c>
      <c r="O186" s="1" t="s">
        <v>111</v>
      </c>
      <c r="P186" s="1" t="s">
        <v>112</v>
      </c>
      <c r="Q186" s="1" t="s">
        <v>4</v>
      </c>
      <c r="R186" s="1" t="s">
        <v>4</v>
      </c>
      <c r="S186" s="1" t="s">
        <v>10</v>
      </c>
      <c r="T186" s="1"/>
      <c r="U186" s="1"/>
      <c r="V186" s="1"/>
      <c r="W186" s="1" t="s">
        <v>11</v>
      </c>
      <c r="X186" s="1" t="s">
        <v>197</v>
      </c>
      <c r="Y186" s="1" t="s">
        <v>197</v>
      </c>
      <c r="Z186" s="1" t="s">
        <v>114</v>
      </c>
      <c r="AA186" s="1" t="s">
        <v>1165</v>
      </c>
      <c r="AB186" s="1" t="s">
        <v>1166</v>
      </c>
      <c r="AC186" s="1" t="s">
        <v>1167</v>
      </c>
      <c r="AD186" s="1" t="s">
        <v>17</v>
      </c>
      <c r="AE186" s="1" t="s">
        <v>18</v>
      </c>
      <c r="AF186" s="1" t="s">
        <v>19</v>
      </c>
      <c r="AG186" s="1" t="s">
        <v>19</v>
      </c>
      <c r="AH186" s="1" t="s">
        <v>1166</v>
      </c>
    </row>
    <row r="187" spans="2:34" ht="15">
      <c r="B187" s="4" t="s">
        <v>153</v>
      </c>
      <c r="C187" s="5">
        <v>43587</v>
      </c>
      <c r="D187" s="4" t="s">
        <v>154</v>
      </c>
      <c r="E187" s="4" t="s">
        <v>1168</v>
      </c>
      <c r="F187" s="4" t="s">
        <v>3</v>
      </c>
      <c r="G187" s="4" t="s">
        <v>4</v>
      </c>
      <c r="H187" s="4" t="s">
        <v>315</v>
      </c>
      <c r="I187" s="5">
        <v>43586</v>
      </c>
      <c r="J187" s="6">
        <v>0.6263888888888889</v>
      </c>
      <c r="K187" s="5">
        <v>43588</v>
      </c>
      <c r="L187" s="4" t="s">
        <v>6</v>
      </c>
      <c r="M187" s="4"/>
      <c r="N187" s="4" t="s">
        <v>127</v>
      </c>
      <c r="O187" s="4" t="s">
        <v>128</v>
      </c>
      <c r="P187" s="4" t="s">
        <v>129</v>
      </c>
      <c r="Q187" s="4" t="s">
        <v>4</v>
      </c>
      <c r="R187" s="4" t="s">
        <v>4</v>
      </c>
      <c r="S187" s="4" t="s">
        <v>10</v>
      </c>
      <c r="T187" s="4"/>
      <c r="U187" s="4"/>
      <c r="V187" s="4"/>
      <c r="W187" s="4" t="s">
        <v>27</v>
      </c>
      <c r="X187" s="4" t="s">
        <v>599</v>
      </c>
      <c r="Y187" s="4" t="s">
        <v>599</v>
      </c>
      <c r="Z187" s="4" t="s">
        <v>1169</v>
      </c>
      <c r="AA187" s="4" t="s">
        <v>1170</v>
      </c>
      <c r="AB187" s="4" t="s">
        <v>1171</v>
      </c>
      <c r="AC187" s="4" t="s">
        <v>1172</v>
      </c>
      <c r="AD187" s="4" t="s">
        <v>17</v>
      </c>
      <c r="AE187" s="4" t="s">
        <v>17</v>
      </c>
      <c r="AF187" s="4" t="s">
        <v>19</v>
      </c>
      <c r="AG187" s="4" t="s">
        <v>19</v>
      </c>
      <c r="AH187" s="4" t="s">
        <v>1171</v>
      </c>
    </row>
    <row r="188" spans="2:34" ht="15">
      <c r="B188" s="1" t="s">
        <v>20</v>
      </c>
      <c r="C188" s="2">
        <v>43592</v>
      </c>
      <c r="D188" s="1" t="s">
        <v>21</v>
      </c>
      <c r="E188" s="1" t="s">
        <v>1173</v>
      </c>
      <c r="F188" s="1" t="s">
        <v>3</v>
      </c>
      <c r="G188" s="1" t="s">
        <v>4</v>
      </c>
      <c r="H188" s="1" t="s">
        <v>1174</v>
      </c>
      <c r="I188" s="2">
        <v>43588</v>
      </c>
      <c r="J188" s="3">
        <v>0.6584027777777778</v>
      </c>
      <c r="K188" s="2">
        <v>43593</v>
      </c>
      <c r="L188" s="1" t="s">
        <v>6</v>
      </c>
      <c r="M188" s="1"/>
      <c r="N188" s="1" t="s">
        <v>1175</v>
      </c>
      <c r="O188" s="1" t="s">
        <v>1176</v>
      </c>
      <c r="P188" s="1" t="s">
        <v>1177</v>
      </c>
      <c r="Q188" s="1" t="s">
        <v>4</v>
      </c>
      <c r="R188" s="1" t="s">
        <v>4</v>
      </c>
      <c r="S188" s="1" t="s">
        <v>10</v>
      </c>
      <c r="T188" s="1"/>
      <c r="U188" s="1"/>
      <c r="V188" s="1"/>
      <c r="W188" s="1" t="s">
        <v>11</v>
      </c>
      <c r="X188" s="1" t="s">
        <v>1178</v>
      </c>
      <c r="Y188" s="1" t="s">
        <v>1178</v>
      </c>
      <c r="Z188" s="1" t="s">
        <v>1179</v>
      </c>
      <c r="AA188" s="1" t="s">
        <v>1180</v>
      </c>
      <c r="AB188" s="1" t="s">
        <v>1181</v>
      </c>
      <c r="AC188" s="1" t="s">
        <v>1182</v>
      </c>
      <c r="AD188" s="1" t="s">
        <v>17</v>
      </c>
      <c r="AE188" s="1" t="s">
        <v>18</v>
      </c>
      <c r="AF188" s="1" t="s">
        <v>19</v>
      </c>
      <c r="AG188" s="1" t="s">
        <v>19</v>
      </c>
      <c r="AH188" s="1" t="s">
        <v>1181</v>
      </c>
    </row>
    <row r="189" spans="2:34" ht="15">
      <c r="B189" s="4" t="s">
        <v>0</v>
      </c>
      <c r="C189" s="5">
        <v>43593</v>
      </c>
      <c r="D189" s="4" t="s">
        <v>1</v>
      </c>
      <c r="E189" s="4" t="s">
        <v>1183</v>
      </c>
      <c r="F189" s="4" t="s">
        <v>3</v>
      </c>
      <c r="G189" s="4" t="s">
        <v>4</v>
      </c>
      <c r="H189" s="4" t="s">
        <v>119</v>
      </c>
      <c r="I189" s="5">
        <v>43592</v>
      </c>
      <c r="J189" s="6">
        <v>0.663599537037037</v>
      </c>
      <c r="K189" s="5">
        <v>43594</v>
      </c>
      <c r="L189" s="4" t="s">
        <v>6</v>
      </c>
      <c r="M189" s="4"/>
      <c r="N189" s="4" t="s">
        <v>1184</v>
      </c>
      <c r="O189" s="4" t="s">
        <v>419</v>
      </c>
      <c r="P189" s="4" t="s">
        <v>420</v>
      </c>
      <c r="Q189" s="4" t="s">
        <v>4</v>
      </c>
      <c r="R189" s="4" t="s">
        <v>4</v>
      </c>
      <c r="S189" s="4" t="s">
        <v>10</v>
      </c>
      <c r="T189" s="4"/>
      <c r="U189" s="4"/>
      <c r="V189" s="4"/>
      <c r="W189" s="4" t="s">
        <v>27</v>
      </c>
      <c r="X189" s="4" t="s">
        <v>1053</v>
      </c>
      <c r="Y189" s="4" t="s">
        <v>1053</v>
      </c>
      <c r="Z189" s="4" t="s">
        <v>1185</v>
      </c>
      <c r="AA189" s="4" t="s">
        <v>1186</v>
      </c>
      <c r="AB189" s="4" t="s">
        <v>1187</v>
      </c>
      <c r="AC189" s="4" t="s">
        <v>1188</v>
      </c>
      <c r="AD189" s="4" t="s">
        <v>17</v>
      </c>
      <c r="AE189" s="4" t="s">
        <v>18</v>
      </c>
      <c r="AF189" s="4" t="s">
        <v>19</v>
      </c>
      <c r="AG189" s="4" t="s">
        <v>19</v>
      </c>
      <c r="AH189" s="4" t="s">
        <v>1187</v>
      </c>
    </row>
    <row r="190" spans="2:34" ht="15">
      <c r="B190" s="1" t="s">
        <v>0</v>
      </c>
      <c r="C190" s="2">
        <v>43594</v>
      </c>
      <c r="D190" s="1" t="s">
        <v>1</v>
      </c>
      <c r="E190" s="1" t="s">
        <v>1189</v>
      </c>
      <c r="F190" s="1" t="s">
        <v>3</v>
      </c>
      <c r="G190" s="1" t="s">
        <v>4</v>
      </c>
      <c r="H190" s="1" t="s">
        <v>119</v>
      </c>
      <c r="I190" s="2">
        <v>43593</v>
      </c>
      <c r="J190" s="3">
        <v>0.6926157407407407</v>
      </c>
      <c r="K190" s="2">
        <v>43595</v>
      </c>
      <c r="L190" s="1" t="s">
        <v>6</v>
      </c>
      <c r="M190" s="1"/>
      <c r="N190" s="1" t="s">
        <v>110</v>
      </c>
      <c r="O190" s="1" t="s">
        <v>111</v>
      </c>
      <c r="P190" s="1" t="s">
        <v>112</v>
      </c>
      <c r="Q190" s="1" t="s">
        <v>4</v>
      </c>
      <c r="R190" s="1" t="s">
        <v>4</v>
      </c>
      <c r="S190" s="1" t="s">
        <v>10</v>
      </c>
      <c r="T190" s="1"/>
      <c r="U190" s="1"/>
      <c r="V190" s="1"/>
      <c r="W190" s="1" t="s">
        <v>11</v>
      </c>
      <c r="X190" s="1" t="s">
        <v>1190</v>
      </c>
      <c r="Y190" s="1" t="s">
        <v>1190</v>
      </c>
      <c r="Z190" s="1" t="s">
        <v>114</v>
      </c>
      <c r="AA190" s="1" t="s">
        <v>1191</v>
      </c>
      <c r="AB190" s="1" t="s">
        <v>1192</v>
      </c>
      <c r="AC190" s="1" t="s">
        <v>1193</v>
      </c>
      <c r="AD190" s="1" t="s">
        <v>17</v>
      </c>
      <c r="AE190" s="1" t="s">
        <v>17</v>
      </c>
      <c r="AF190" s="1" t="s">
        <v>19</v>
      </c>
      <c r="AG190" s="1" t="s">
        <v>19</v>
      </c>
      <c r="AH190" s="1" t="s">
        <v>1192</v>
      </c>
    </row>
    <row r="191" spans="2:34" ht="15">
      <c r="B191" s="4" t="s">
        <v>0</v>
      </c>
      <c r="C191" s="5">
        <v>43595</v>
      </c>
      <c r="D191" s="4" t="s">
        <v>1</v>
      </c>
      <c r="E191" s="4" t="s">
        <v>1194</v>
      </c>
      <c r="F191" s="4" t="s">
        <v>3</v>
      </c>
      <c r="G191" s="4" t="s">
        <v>4</v>
      </c>
      <c r="H191" s="4" t="s">
        <v>119</v>
      </c>
      <c r="I191" s="5">
        <v>43594</v>
      </c>
      <c r="J191" s="6">
        <v>0.6006828703703704</v>
      </c>
      <c r="K191" s="5">
        <v>43598</v>
      </c>
      <c r="L191" s="4" t="s">
        <v>6</v>
      </c>
      <c r="M191" s="4"/>
      <c r="N191" s="4" t="s">
        <v>110</v>
      </c>
      <c r="O191" s="4" t="s">
        <v>111</v>
      </c>
      <c r="P191" s="4" t="s">
        <v>112</v>
      </c>
      <c r="Q191" s="4" t="s">
        <v>4</v>
      </c>
      <c r="R191" s="4" t="s">
        <v>4</v>
      </c>
      <c r="S191" s="4" t="s">
        <v>10</v>
      </c>
      <c r="T191" s="4"/>
      <c r="U191" s="4"/>
      <c r="V191" s="4"/>
      <c r="W191" s="4" t="s">
        <v>11</v>
      </c>
      <c r="X191" s="4" t="s">
        <v>1195</v>
      </c>
      <c r="Y191" s="4" t="s">
        <v>1195</v>
      </c>
      <c r="Z191" s="4" t="s">
        <v>114</v>
      </c>
      <c r="AA191" s="4" t="s">
        <v>1196</v>
      </c>
      <c r="AB191" s="4" t="s">
        <v>1197</v>
      </c>
      <c r="AC191" s="4" t="s">
        <v>1198</v>
      </c>
      <c r="AD191" s="4" t="s">
        <v>17</v>
      </c>
      <c r="AE191" s="4" t="s">
        <v>18</v>
      </c>
      <c r="AF191" s="4" t="s">
        <v>19</v>
      </c>
      <c r="AG191" s="4" t="s">
        <v>19</v>
      </c>
      <c r="AH191" s="4" t="s">
        <v>1197</v>
      </c>
    </row>
    <row r="192" spans="2:34" ht="15">
      <c r="B192" s="1" t="s">
        <v>20</v>
      </c>
      <c r="C192" s="2">
        <v>43599</v>
      </c>
      <c r="D192" s="1" t="s">
        <v>21</v>
      </c>
      <c r="E192" s="1" t="s">
        <v>1199</v>
      </c>
      <c r="F192" s="1" t="s">
        <v>3</v>
      </c>
      <c r="G192" s="1" t="s">
        <v>4</v>
      </c>
      <c r="H192" s="1" t="s">
        <v>119</v>
      </c>
      <c r="I192" s="2">
        <v>43598</v>
      </c>
      <c r="J192" s="3">
        <v>0.5801273148148148</v>
      </c>
      <c r="K192" s="2">
        <v>43600</v>
      </c>
      <c r="L192" s="1" t="s">
        <v>6</v>
      </c>
      <c r="M192" s="1"/>
      <c r="N192" s="1" t="s">
        <v>950</v>
      </c>
      <c r="O192" s="1" t="s">
        <v>951</v>
      </c>
      <c r="P192" s="1" t="s">
        <v>952</v>
      </c>
      <c r="Q192" s="1" t="s">
        <v>4</v>
      </c>
      <c r="R192" s="1" t="s">
        <v>4</v>
      </c>
      <c r="S192" s="1" t="s">
        <v>10</v>
      </c>
      <c r="T192" s="1"/>
      <c r="U192" s="1"/>
      <c r="V192" s="1"/>
      <c r="W192" s="1" t="s">
        <v>11</v>
      </c>
      <c r="X192" s="1" t="s">
        <v>1200</v>
      </c>
      <c r="Y192" s="1" t="s">
        <v>1200</v>
      </c>
      <c r="Z192" s="1" t="s">
        <v>1201</v>
      </c>
      <c r="AA192" s="1" t="s">
        <v>1202</v>
      </c>
      <c r="AB192" s="1" t="s">
        <v>1203</v>
      </c>
      <c r="AC192" s="1" t="s">
        <v>1204</v>
      </c>
      <c r="AD192" s="1" t="s">
        <v>17</v>
      </c>
      <c r="AE192" s="1" t="s">
        <v>18</v>
      </c>
      <c r="AF192" s="1" t="s">
        <v>19</v>
      </c>
      <c r="AG192" s="1" t="s">
        <v>19</v>
      </c>
      <c r="AH192" s="1" t="s">
        <v>1203</v>
      </c>
    </row>
    <row r="193" spans="2:34" ht="15">
      <c r="B193" s="4" t="s">
        <v>0</v>
      </c>
      <c r="C193" s="5">
        <v>43599</v>
      </c>
      <c r="D193" s="4" t="s">
        <v>1</v>
      </c>
      <c r="E193" s="4" t="s">
        <v>1205</v>
      </c>
      <c r="F193" s="4" t="s">
        <v>3</v>
      </c>
      <c r="G193" s="4" t="s">
        <v>4</v>
      </c>
      <c r="H193" s="4" t="s">
        <v>119</v>
      </c>
      <c r="I193" s="5">
        <v>43598</v>
      </c>
      <c r="J193" s="6">
        <v>0.5801273148148148</v>
      </c>
      <c r="K193" s="5">
        <v>43600</v>
      </c>
      <c r="L193" s="4" t="s">
        <v>6</v>
      </c>
      <c r="M193" s="4"/>
      <c r="N193" s="4" t="s">
        <v>950</v>
      </c>
      <c r="O193" s="4" t="s">
        <v>951</v>
      </c>
      <c r="P193" s="4" t="s">
        <v>952</v>
      </c>
      <c r="Q193" s="4" t="s">
        <v>4</v>
      </c>
      <c r="R193" s="4" t="s">
        <v>4</v>
      </c>
      <c r="S193" s="4" t="s">
        <v>10</v>
      </c>
      <c r="T193" s="4"/>
      <c r="U193" s="4"/>
      <c r="V193" s="4"/>
      <c r="W193" s="4" t="s">
        <v>11</v>
      </c>
      <c r="X193" s="4" t="s">
        <v>1206</v>
      </c>
      <c r="Y193" s="4" t="s">
        <v>1206</v>
      </c>
      <c r="Z193" s="4" t="s">
        <v>1201</v>
      </c>
      <c r="AA193" s="4" t="s">
        <v>1207</v>
      </c>
      <c r="AB193" s="4" t="s">
        <v>1208</v>
      </c>
      <c r="AC193" s="4" t="s">
        <v>1209</v>
      </c>
      <c r="AD193" s="4" t="s">
        <v>17</v>
      </c>
      <c r="AE193" s="4" t="s">
        <v>18</v>
      </c>
      <c r="AF193" s="4" t="s">
        <v>19</v>
      </c>
      <c r="AG193" s="4" t="s">
        <v>19</v>
      </c>
      <c r="AH193" s="4" t="s">
        <v>1208</v>
      </c>
    </row>
    <row r="194" spans="2:34" ht="15">
      <c r="B194" s="1" t="s">
        <v>0</v>
      </c>
      <c r="C194" s="2">
        <v>43599</v>
      </c>
      <c r="D194" s="1" t="s">
        <v>1</v>
      </c>
      <c r="E194" s="1" t="s">
        <v>1210</v>
      </c>
      <c r="F194" s="1" t="s">
        <v>3</v>
      </c>
      <c r="G194" s="1" t="s">
        <v>4</v>
      </c>
      <c r="H194" s="1" t="s">
        <v>119</v>
      </c>
      <c r="I194" s="2">
        <v>43599</v>
      </c>
      <c r="J194" s="3">
        <v>0.34913194444444445</v>
      </c>
      <c r="K194" s="2">
        <v>43601</v>
      </c>
      <c r="L194" s="1" t="s">
        <v>6</v>
      </c>
      <c r="M194" s="1"/>
      <c r="N194" s="1" t="s">
        <v>1211</v>
      </c>
      <c r="O194" s="1" t="s">
        <v>1212</v>
      </c>
      <c r="P194" s="1" t="s">
        <v>1213</v>
      </c>
      <c r="Q194" s="1" t="s">
        <v>4</v>
      </c>
      <c r="R194" s="1" t="s">
        <v>4</v>
      </c>
      <c r="S194" s="1" t="s">
        <v>10</v>
      </c>
      <c r="T194" s="1"/>
      <c r="U194" s="1"/>
      <c r="V194" s="1"/>
      <c r="W194" s="1" t="s">
        <v>11</v>
      </c>
      <c r="X194" s="1" t="s">
        <v>1214</v>
      </c>
      <c r="Y194" s="1" t="s">
        <v>1214</v>
      </c>
      <c r="Z194" s="1" t="s">
        <v>1215</v>
      </c>
      <c r="AA194" s="1" t="s">
        <v>1216</v>
      </c>
      <c r="AB194" s="1" t="s">
        <v>1217</v>
      </c>
      <c r="AC194" s="1" t="s">
        <v>1218</v>
      </c>
      <c r="AD194" s="1" t="s">
        <v>17</v>
      </c>
      <c r="AE194" s="1" t="s">
        <v>18</v>
      </c>
      <c r="AF194" s="1" t="s">
        <v>19</v>
      </c>
      <c r="AG194" s="1" t="s">
        <v>19</v>
      </c>
      <c r="AH194" s="1" t="s">
        <v>1217</v>
      </c>
    </row>
    <row r="195" spans="2:34" ht="15">
      <c r="B195" s="4" t="s">
        <v>0</v>
      </c>
      <c r="C195" s="5">
        <v>43600</v>
      </c>
      <c r="D195" s="4" t="s">
        <v>1</v>
      </c>
      <c r="E195" s="4" t="s">
        <v>1219</v>
      </c>
      <c r="F195" s="4" t="s">
        <v>3</v>
      </c>
      <c r="G195" s="4" t="s">
        <v>4</v>
      </c>
      <c r="H195" s="4" t="s">
        <v>119</v>
      </c>
      <c r="I195" s="5">
        <v>43599</v>
      </c>
      <c r="J195" s="6">
        <v>0.6489930555555555</v>
      </c>
      <c r="K195" s="5">
        <v>43601</v>
      </c>
      <c r="L195" s="4" t="s">
        <v>6</v>
      </c>
      <c r="M195" s="4"/>
      <c r="N195" s="4" t="s">
        <v>223</v>
      </c>
      <c r="O195" s="4" t="s">
        <v>224</v>
      </c>
      <c r="P195" s="4" t="s">
        <v>225</v>
      </c>
      <c r="Q195" s="4" t="s">
        <v>4</v>
      </c>
      <c r="R195" s="4" t="s">
        <v>4</v>
      </c>
      <c r="S195" s="4" t="s">
        <v>10</v>
      </c>
      <c r="T195" s="4"/>
      <c r="U195" s="4"/>
      <c r="V195" s="4"/>
      <c r="W195" s="4" t="s">
        <v>27</v>
      </c>
      <c r="X195" s="4" t="s">
        <v>1220</v>
      </c>
      <c r="Y195" s="4" t="s">
        <v>1220</v>
      </c>
      <c r="Z195" s="4" t="s">
        <v>1221</v>
      </c>
      <c r="AA195" s="4" t="s">
        <v>1222</v>
      </c>
      <c r="AB195" s="4" t="s">
        <v>1223</v>
      </c>
      <c r="AC195" s="4" t="s">
        <v>1224</v>
      </c>
      <c r="AD195" s="4" t="s">
        <v>17</v>
      </c>
      <c r="AE195" s="4" t="s">
        <v>1225</v>
      </c>
      <c r="AF195" s="4" t="s">
        <v>19</v>
      </c>
      <c r="AG195" s="4" t="s">
        <v>19</v>
      </c>
      <c r="AH195" s="4" t="s">
        <v>1223</v>
      </c>
    </row>
    <row r="196" spans="2:34" ht="15">
      <c r="B196" s="1" t="s">
        <v>0</v>
      </c>
      <c r="C196" s="2">
        <v>43600</v>
      </c>
      <c r="D196" s="1" t="s">
        <v>1</v>
      </c>
      <c r="E196" s="1" t="s">
        <v>1226</v>
      </c>
      <c r="F196" s="1" t="s">
        <v>3</v>
      </c>
      <c r="G196" s="1" t="s">
        <v>4</v>
      </c>
      <c r="H196" s="1" t="s">
        <v>90</v>
      </c>
      <c r="I196" s="2">
        <v>43599</v>
      </c>
      <c r="J196" s="3">
        <v>0.6508564814814815</v>
      </c>
      <c r="K196" s="2">
        <v>43601</v>
      </c>
      <c r="L196" s="1" t="s">
        <v>6</v>
      </c>
      <c r="M196" s="1"/>
      <c r="N196" s="1" t="s">
        <v>827</v>
      </c>
      <c r="O196" s="1" t="s">
        <v>359</v>
      </c>
      <c r="P196" s="1" t="s">
        <v>360</v>
      </c>
      <c r="Q196" s="1" t="s">
        <v>4</v>
      </c>
      <c r="R196" s="1" t="s">
        <v>4</v>
      </c>
      <c r="S196" s="1" t="s">
        <v>10</v>
      </c>
      <c r="T196" s="1"/>
      <c r="U196" s="1"/>
      <c r="V196" s="1"/>
      <c r="W196" s="1" t="s">
        <v>27</v>
      </c>
      <c r="X196" s="1" t="s">
        <v>1227</v>
      </c>
      <c r="Y196" s="1" t="s">
        <v>1227</v>
      </c>
      <c r="Z196" s="1" t="s">
        <v>1228</v>
      </c>
      <c r="AA196" s="1" t="s">
        <v>1229</v>
      </c>
      <c r="AB196" s="1" t="s">
        <v>1230</v>
      </c>
      <c r="AC196" s="1" t="s">
        <v>1231</v>
      </c>
      <c r="AD196" s="1" t="s">
        <v>17</v>
      </c>
      <c r="AE196" s="1" t="s">
        <v>18</v>
      </c>
      <c r="AF196" s="1" t="s">
        <v>19</v>
      </c>
      <c r="AG196" s="1" t="s">
        <v>19</v>
      </c>
      <c r="AH196" s="1" t="s">
        <v>1230</v>
      </c>
    </row>
    <row r="197" spans="2:34" ht="15">
      <c r="B197" s="4" t="s">
        <v>153</v>
      </c>
      <c r="C197" s="5">
        <v>43600</v>
      </c>
      <c r="D197" s="4" t="s">
        <v>154</v>
      </c>
      <c r="E197" s="4" t="s">
        <v>1232</v>
      </c>
      <c r="F197" s="4" t="s">
        <v>3</v>
      </c>
      <c r="G197" s="4" t="s">
        <v>4</v>
      </c>
      <c r="H197" s="4" t="s">
        <v>632</v>
      </c>
      <c r="I197" s="5">
        <v>43599</v>
      </c>
      <c r="J197" s="6">
        <v>0.4725810185185185</v>
      </c>
      <c r="K197" s="5">
        <v>43601</v>
      </c>
      <c r="L197" s="4" t="s">
        <v>6</v>
      </c>
      <c r="M197" s="4"/>
      <c r="N197" s="4" t="s">
        <v>401</v>
      </c>
      <c r="O197" s="4" t="s">
        <v>402</v>
      </c>
      <c r="P197" s="4" t="s">
        <v>403</v>
      </c>
      <c r="Q197" s="4" t="s">
        <v>4</v>
      </c>
      <c r="R197" s="4" t="s">
        <v>4</v>
      </c>
      <c r="S197" s="4" t="s">
        <v>10</v>
      </c>
      <c r="T197" s="4"/>
      <c r="U197" s="4"/>
      <c r="V197" s="4"/>
      <c r="W197" s="4" t="s">
        <v>27</v>
      </c>
      <c r="X197" s="4" t="s">
        <v>655</v>
      </c>
      <c r="Y197" s="4" t="s">
        <v>655</v>
      </c>
      <c r="Z197" s="4" t="s">
        <v>1032</v>
      </c>
      <c r="AA197" s="4" t="s">
        <v>1233</v>
      </c>
      <c r="AB197" s="4" t="s">
        <v>1234</v>
      </c>
      <c r="AC197" s="4" t="s">
        <v>1235</v>
      </c>
      <c r="AD197" s="4" t="s">
        <v>17</v>
      </c>
      <c r="AE197" s="4" t="s">
        <v>17</v>
      </c>
      <c r="AF197" s="4" t="s">
        <v>19</v>
      </c>
      <c r="AG197" s="4" t="s">
        <v>19</v>
      </c>
      <c r="AH197" s="4" t="s">
        <v>1234</v>
      </c>
    </row>
    <row r="198" spans="2:34" ht="15">
      <c r="B198" s="1" t="s">
        <v>20</v>
      </c>
      <c r="C198" s="2">
        <v>43601</v>
      </c>
      <c r="D198" s="1" t="s">
        <v>21</v>
      </c>
      <c r="E198" s="1" t="s">
        <v>1236</v>
      </c>
      <c r="F198" s="1" t="s">
        <v>3</v>
      </c>
      <c r="G198" s="1" t="s">
        <v>4</v>
      </c>
      <c r="H198" s="1" t="s">
        <v>119</v>
      </c>
      <c r="I198" s="2">
        <v>43601</v>
      </c>
      <c r="J198" s="3">
        <v>0.3950462962962963</v>
      </c>
      <c r="K198" s="2">
        <v>43605</v>
      </c>
      <c r="L198" s="1" t="s">
        <v>6</v>
      </c>
      <c r="M198" s="1"/>
      <c r="N198" s="1" t="s">
        <v>1127</v>
      </c>
      <c r="O198" s="1" t="s">
        <v>1128</v>
      </c>
      <c r="P198" s="1" t="s">
        <v>1129</v>
      </c>
      <c r="Q198" s="1" t="s">
        <v>4</v>
      </c>
      <c r="R198" s="1" t="s">
        <v>4</v>
      </c>
      <c r="S198" s="1" t="s">
        <v>10</v>
      </c>
      <c r="T198" s="1"/>
      <c r="U198" s="1"/>
      <c r="V198" s="1"/>
      <c r="W198" s="1" t="s">
        <v>11</v>
      </c>
      <c r="X198" s="1" t="s">
        <v>1237</v>
      </c>
      <c r="Y198" s="1" t="s">
        <v>1237</v>
      </c>
      <c r="Z198" s="1" t="s">
        <v>1068</v>
      </c>
      <c r="AA198" s="1" t="s">
        <v>1238</v>
      </c>
      <c r="AB198" s="1" t="s">
        <v>1239</v>
      </c>
      <c r="AC198" s="1" t="s">
        <v>1240</v>
      </c>
      <c r="AD198" s="1" t="s">
        <v>17</v>
      </c>
      <c r="AE198" s="1" t="s">
        <v>18</v>
      </c>
      <c r="AF198" s="1" t="s">
        <v>19</v>
      </c>
      <c r="AG198" s="1" t="s">
        <v>19</v>
      </c>
      <c r="AH198" s="1" t="s">
        <v>1239</v>
      </c>
    </row>
    <row r="199" spans="2:34" ht="15">
      <c r="B199" s="4" t="s">
        <v>0</v>
      </c>
      <c r="C199" s="5">
        <v>43606</v>
      </c>
      <c r="D199" s="4" t="s">
        <v>1</v>
      </c>
      <c r="E199" s="4" t="s">
        <v>1241</v>
      </c>
      <c r="F199" s="4" t="s">
        <v>3</v>
      </c>
      <c r="G199" s="4" t="s">
        <v>4</v>
      </c>
      <c r="H199" s="4" t="s">
        <v>119</v>
      </c>
      <c r="I199" s="5">
        <v>43605</v>
      </c>
      <c r="J199" s="6">
        <v>0.6786458333333333</v>
      </c>
      <c r="K199" s="5">
        <v>43607</v>
      </c>
      <c r="L199" s="4" t="s">
        <v>6</v>
      </c>
      <c r="M199" s="4"/>
      <c r="N199" s="4" t="s">
        <v>110</v>
      </c>
      <c r="O199" s="4" t="s">
        <v>111</v>
      </c>
      <c r="P199" s="4" t="s">
        <v>112</v>
      </c>
      <c r="Q199" s="4" t="s">
        <v>4</v>
      </c>
      <c r="R199" s="4" t="s">
        <v>4</v>
      </c>
      <c r="S199" s="4" t="s">
        <v>10</v>
      </c>
      <c r="T199" s="4"/>
      <c r="U199" s="4"/>
      <c r="V199" s="4"/>
      <c r="W199" s="4" t="s">
        <v>11</v>
      </c>
      <c r="X199" s="4" t="s">
        <v>1242</v>
      </c>
      <c r="Y199" s="4" t="s">
        <v>1242</v>
      </c>
      <c r="Z199" s="4" t="s">
        <v>114</v>
      </c>
      <c r="AA199" s="4" t="s">
        <v>1243</v>
      </c>
      <c r="AB199" s="4" t="s">
        <v>1244</v>
      </c>
      <c r="AC199" s="4" t="s">
        <v>1245</v>
      </c>
      <c r="AD199" s="4" t="s">
        <v>17</v>
      </c>
      <c r="AE199" s="4" t="s">
        <v>18</v>
      </c>
      <c r="AF199" s="4" t="s">
        <v>19</v>
      </c>
      <c r="AG199" s="4" t="s">
        <v>19</v>
      </c>
      <c r="AH199" s="4" t="s">
        <v>1244</v>
      </c>
    </row>
    <row r="200" spans="2:34" ht="15">
      <c r="B200" s="1" t="s">
        <v>20</v>
      </c>
      <c r="C200" s="2">
        <v>43607</v>
      </c>
      <c r="D200" s="1" t="s">
        <v>21</v>
      </c>
      <c r="E200" s="1" t="s">
        <v>1246</v>
      </c>
      <c r="F200" s="1" t="s">
        <v>3</v>
      </c>
      <c r="G200" s="1" t="s">
        <v>4</v>
      </c>
      <c r="H200" s="1" t="s">
        <v>119</v>
      </c>
      <c r="I200" s="2">
        <v>43606</v>
      </c>
      <c r="J200" s="3">
        <v>0.6729166666666667</v>
      </c>
      <c r="K200" s="2">
        <v>43608</v>
      </c>
      <c r="L200" s="1" t="s">
        <v>6</v>
      </c>
      <c r="M200" s="1"/>
      <c r="N200" s="1" t="s">
        <v>950</v>
      </c>
      <c r="O200" s="1" t="s">
        <v>951</v>
      </c>
      <c r="P200" s="1" t="s">
        <v>952</v>
      </c>
      <c r="Q200" s="1" t="s">
        <v>4</v>
      </c>
      <c r="R200" s="1" t="s">
        <v>4</v>
      </c>
      <c r="S200" s="1" t="s">
        <v>10</v>
      </c>
      <c r="T200" s="1"/>
      <c r="U200" s="1"/>
      <c r="V200" s="1"/>
      <c r="W200" s="1" t="s">
        <v>11</v>
      </c>
      <c r="X200" s="1" t="s">
        <v>1247</v>
      </c>
      <c r="Y200" s="1" t="s">
        <v>1247</v>
      </c>
      <c r="Z200" s="1" t="s">
        <v>1248</v>
      </c>
      <c r="AA200" s="1" t="s">
        <v>1249</v>
      </c>
      <c r="AB200" s="1" t="s">
        <v>1250</v>
      </c>
      <c r="AC200" s="1" t="s">
        <v>1251</v>
      </c>
      <c r="AD200" s="1" t="s">
        <v>17</v>
      </c>
      <c r="AE200" s="1" t="s">
        <v>18</v>
      </c>
      <c r="AF200" s="1" t="s">
        <v>19</v>
      </c>
      <c r="AG200" s="1" t="s">
        <v>19</v>
      </c>
      <c r="AH200" s="1" t="s">
        <v>1250</v>
      </c>
    </row>
    <row r="201" spans="2:34" ht="15">
      <c r="B201" s="4" t="s">
        <v>0</v>
      </c>
      <c r="C201" s="5">
        <v>43607</v>
      </c>
      <c r="D201" s="4" t="s">
        <v>1</v>
      </c>
      <c r="E201" s="4" t="s">
        <v>1252</v>
      </c>
      <c r="F201" s="4" t="s">
        <v>3</v>
      </c>
      <c r="G201" s="4" t="s">
        <v>4</v>
      </c>
      <c r="H201" s="4" t="s">
        <v>183</v>
      </c>
      <c r="I201" s="5">
        <v>43606</v>
      </c>
      <c r="J201" s="6">
        <v>0.5348958333333333</v>
      </c>
      <c r="K201" s="5">
        <v>43608</v>
      </c>
      <c r="L201" s="4" t="s">
        <v>6</v>
      </c>
      <c r="M201" s="4"/>
      <c r="N201" s="4" t="s">
        <v>1253</v>
      </c>
      <c r="O201" s="4" t="s">
        <v>1254</v>
      </c>
      <c r="P201" s="4" t="s">
        <v>1255</v>
      </c>
      <c r="Q201" s="4" t="s">
        <v>4</v>
      </c>
      <c r="R201" s="4" t="s">
        <v>4</v>
      </c>
      <c r="S201" s="4" t="s">
        <v>10</v>
      </c>
      <c r="T201" s="4"/>
      <c r="U201" s="4"/>
      <c r="V201" s="4"/>
      <c r="W201" s="4" t="s">
        <v>11</v>
      </c>
      <c r="X201" s="4" t="s">
        <v>1256</v>
      </c>
      <c r="Y201" s="4" t="s">
        <v>1256</v>
      </c>
      <c r="Z201" s="4" t="s">
        <v>1257</v>
      </c>
      <c r="AA201" s="4" t="s">
        <v>1258</v>
      </c>
      <c r="AB201" s="4" t="s">
        <v>1259</v>
      </c>
      <c r="AC201" s="4" t="s">
        <v>1260</v>
      </c>
      <c r="AD201" s="4" t="s">
        <v>17</v>
      </c>
      <c r="AE201" s="4" t="s">
        <v>18</v>
      </c>
      <c r="AF201" s="4" t="s">
        <v>19</v>
      </c>
      <c r="AG201" s="4" t="s">
        <v>19</v>
      </c>
      <c r="AH201" s="4" t="s">
        <v>1259</v>
      </c>
    </row>
    <row r="202" spans="2:34" ht="15">
      <c r="B202" s="1" t="s">
        <v>0</v>
      </c>
      <c r="C202" s="2">
        <v>43607</v>
      </c>
      <c r="D202" s="1" t="s">
        <v>1</v>
      </c>
      <c r="E202" s="1" t="s">
        <v>1261</v>
      </c>
      <c r="F202" s="1" t="s">
        <v>3</v>
      </c>
      <c r="G202" s="1" t="s">
        <v>4</v>
      </c>
      <c r="H202" s="1" t="s">
        <v>119</v>
      </c>
      <c r="I202" s="2">
        <v>43606</v>
      </c>
      <c r="J202" s="3">
        <v>0.6410185185185185</v>
      </c>
      <c r="K202" s="2">
        <v>43608</v>
      </c>
      <c r="L202" s="1" t="s">
        <v>6</v>
      </c>
      <c r="M202" s="1"/>
      <c r="N202" s="1" t="s">
        <v>110</v>
      </c>
      <c r="O202" s="1" t="s">
        <v>111</v>
      </c>
      <c r="P202" s="1" t="s">
        <v>112</v>
      </c>
      <c r="Q202" s="1" t="s">
        <v>4</v>
      </c>
      <c r="R202" s="1" t="s">
        <v>4</v>
      </c>
      <c r="S202" s="1" t="s">
        <v>10</v>
      </c>
      <c r="T202" s="1"/>
      <c r="U202" s="1"/>
      <c r="V202" s="1"/>
      <c r="W202" s="1" t="s">
        <v>11</v>
      </c>
      <c r="X202" s="1" t="s">
        <v>821</v>
      </c>
      <c r="Y202" s="1" t="s">
        <v>821</v>
      </c>
      <c r="Z202" s="1" t="s">
        <v>1262</v>
      </c>
      <c r="AA202" s="1" t="s">
        <v>1263</v>
      </c>
      <c r="AB202" s="1" t="s">
        <v>1264</v>
      </c>
      <c r="AC202" s="1" t="s">
        <v>1265</v>
      </c>
      <c r="AD202" s="1" t="s">
        <v>17</v>
      </c>
      <c r="AE202" s="1" t="s">
        <v>17</v>
      </c>
      <c r="AF202" s="1" t="s">
        <v>19</v>
      </c>
      <c r="AG202" s="1" t="s">
        <v>19</v>
      </c>
      <c r="AH202" s="1" t="s">
        <v>1264</v>
      </c>
    </row>
    <row r="203" spans="2:34" ht="15">
      <c r="B203" s="4" t="s">
        <v>0</v>
      </c>
      <c r="C203" s="5">
        <v>43607</v>
      </c>
      <c r="D203" s="4" t="s">
        <v>1</v>
      </c>
      <c r="E203" s="4" t="s">
        <v>1266</v>
      </c>
      <c r="F203" s="4" t="s">
        <v>3</v>
      </c>
      <c r="G203" s="4" t="s">
        <v>4</v>
      </c>
      <c r="H203" s="4" t="s">
        <v>119</v>
      </c>
      <c r="I203" s="5">
        <v>43606</v>
      </c>
      <c r="J203" s="6">
        <v>0.6729166666666667</v>
      </c>
      <c r="K203" s="5">
        <v>43608</v>
      </c>
      <c r="L203" s="4" t="s">
        <v>6</v>
      </c>
      <c r="M203" s="4"/>
      <c r="N203" s="4" t="s">
        <v>950</v>
      </c>
      <c r="O203" s="4" t="s">
        <v>951</v>
      </c>
      <c r="P203" s="4" t="s">
        <v>952</v>
      </c>
      <c r="Q203" s="4" t="s">
        <v>4</v>
      </c>
      <c r="R203" s="4" t="s">
        <v>4</v>
      </c>
      <c r="S203" s="4" t="s">
        <v>10</v>
      </c>
      <c r="T203" s="4"/>
      <c r="U203" s="4"/>
      <c r="V203" s="4"/>
      <c r="W203" s="4" t="s">
        <v>11</v>
      </c>
      <c r="X203" s="4" t="s">
        <v>1267</v>
      </c>
      <c r="Y203" s="4" t="s">
        <v>1267</v>
      </c>
      <c r="Z203" s="4" t="s">
        <v>1248</v>
      </c>
      <c r="AA203" s="4" t="s">
        <v>1268</v>
      </c>
      <c r="AB203" s="4" t="s">
        <v>1269</v>
      </c>
      <c r="AC203" s="4" t="s">
        <v>1270</v>
      </c>
      <c r="AD203" s="4" t="s">
        <v>17</v>
      </c>
      <c r="AE203" s="4" t="s">
        <v>18</v>
      </c>
      <c r="AF203" s="4" t="s">
        <v>19</v>
      </c>
      <c r="AG203" s="4" t="s">
        <v>19</v>
      </c>
      <c r="AH203" s="4" t="s">
        <v>1269</v>
      </c>
    </row>
    <row r="204" spans="2:34" ht="15">
      <c r="B204" s="1" t="s">
        <v>20</v>
      </c>
      <c r="C204" s="2">
        <v>43608</v>
      </c>
      <c r="D204" s="1" t="s">
        <v>21</v>
      </c>
      <c r="E204" s="1" t="s">
        <v>1271</v>
      </c>
      <c r="F204" s="1" t="s">
        <v>3</v>
      </c>
      <c r="G204" s="1" t="s">
        <v>4</v>
      </c>
      <c r="H204" s="1" t="s">
        <v>119</v>
      </c>
      <c r="I204" s="2">
        <v>43607</v>
      </c>
      <c r="J204" s="3">
        <v>0.5063888888888889</v>
      </c>
      <c r="K204" s="2">
        <v>43609</v>
      </c>
      <c r="L204" s="1" t="s">
        <v>6</v>
      </c>
      <c r="M204" s="1"/>
      <c r="N204" s="1" t="s">
        <v>950</v>
      </c>
      <c r="O204" s="1" t="s">
        <v>951</v>
      </c>
      <c r="P204" s="1" t="s">
        <v>952</v>
      </c>
      <c r="Q204" s="1" t="s">
        <v>4</v>
      </c>
      <c r="R204" s="1" t="s">
        <v>4</v>
      </c>
      <c r="S204" s="1" t="s">
        <v>10</v>
      </c>
      <c r="T204" s="1"/>
      <c r="U204" s="1"/>
      <c r="V204" s="1"/>
      <c r="W204" s="1" t="s">
        <v>11</v>
      </c>
      <c r="X204" s="1" t="s">
        <v>1272</v>
      </c>
      <c r="Y204" s="1" t="s">
        <v>1272</v>
      </c>
      <c r="Z204" s="1" t="s">
        <v>1248</v>
      </c>
      <c r="AA204" s="1" t="s">
        <v>1273</v>
      </c>
      <c r="AB204" s="1" t="s">
        <v>1274</v>
      </c>
      <c r="AC204" s="1" t="s">
        <v>1275</v>
      </c>
      <c r="AD204" s="1" t="s">
        <v>17</v>
      </c>
      <c r="AE204" s="1" t="s">
        <v>18</v>
      </c>
      <c r="AF204" s="1" t="s">
        <v>19</v>
      </c>
      <c r="AG204" s="1" t="s">
        <v>19</v>
      </c>
      <c r="AH204" s="1" t="s">
        <v>1274</v>
      </c>
    </row>
    <row r="205" spans="2:34" ht="15">
      <c r="B205" s="4" t="s">
        <v>20</v>
      </c>
      <c r="C205" s="5">
        <v>43608</v>
      </c>
      <c r="D205" s="4" t="s">
        <v>21</v>
      </c>
      <c r="E205" s="4" t="s">
        <v>1276</v>
      </c>
      <c r="F205" s="4" t="s">
        <v>3</v>
      </c>
      <c r="G205" s="4" t="s">
        <v>4</v>
      </c>
      <c r="H205" s="4" t="s">
        <v>1277</v>
      </c>
      <c r="I205" s="5">
        <v>43607</v>
      </c>
      <c r="J205" s="6">
        <v>0.6388888888888888</v>
      </c>
      <c r="K205" s="5">
        <v>43609</v>
      </c>
      <c r="L205" s="4" t="s">
        <v>6</v>
      </c>
      <c r="M205" s="4"/>
      <c r="N205" s="4" t="s">
        <v>1278</v>
      </c>
      <c r="O205" s="4" t="s">
        <v>1279</v>
      </c>
      <c r="P205" s="4" t="s">
        <v>1280</v>
      </c>
      <c r="Q205" s="4" t="s">
        <v>4</v>
      </c>
      <c r="R205" s="4" t="s">
        <v>4</v>
      </c>
      <c r="S205" s="4" t="s">
        <v>10</v>
      </c>
      <c r="T205" s="4"/>
      <c r="U205" s="4"/>
      <c r="V205" s="4"/>
      <c r="W205" s="4" t="s">
        <v>11</v>
      </c>
      <c r="X205" s="4" t="s">
        <v>1059</v>
      </c>
      <c r="Y205" s="4" t="s">
        <v>1059</v>
      </c>
      <c r="Z205" s="4" t="s">
        <v>1281</v>
      </c>
      <c r="AA205" s="4" t="s">
        <v>404</v>
      </c>
      <c r="AB205" s="4" t="s">
        <v>1282</v>
      </c>
      <c r="AC205" s="4" t="s">
        <v>1283</v>
      </c>
      <c r="AD205" s="4" t="s">
        <v>17</v>
      </c>
      <c r="AE205" s="4" t="s">
        <v>18</v>
      </c>
      <c r="AF205" s="4" t="s">
        <v>19</v>
      </c>
      <c r="AG205" s="4" t="s">
        <v>19</v>
      </c>
      <c r="AH205" s="4" t="s">
        <v>1282</v>
      </c>
    </row>
    <row r="206" spans="2:34" ht="15">
      <c r="B206" s="1" t="s">
        <v>0</v>
      </c>
      <c r="C206" s="2">
        <v>43608</v>
      </c>
      <c r="D206" s="1" t="s">
        <v>1</v>
      </c>
      <c r="E206" s="1" t="s">
        <v>1284</v>
      </c>
      <c r="F206" s="1" t="s">
        <v>3</v>
      </c>
      <c r="G206" s="1" t="s">
        <v>4</v>
      </c>
      <c r="H206" s="1" t="s">
        <v>119</v>
      </c>
      <c r="I206" s="2">
        <v>43607</v>
      </c>
      <c r="J206" s="3">
        <v>0.5063888888888889</v>
      </c>
      <c r="K206" s="2">
        <v>43609</v>
      </c>
      <c r="L206" s="1" t="s">
        <v>6</v>
      </c>
      <c r="M206" s="1"/>
      <c r="N206" s="1" t="s">
        <v>950</v>
      </c>
      <c r="O206" s="1" t="s">
        <v>951</v>
      </c>
      <c r="P206" s="1" t="s">
        <v>952</v>
      </c>
      <c r="Q206" s="1" t="s">
        <v>4</v>
      </c>
      <c r="R206" s="1" t="s">
        <v>4</v>
      </c>
      <c r="S206" s="1" t="s">
        <v>10</v>
      </c>
      <c r="T206" s="1"/>
      <c r="U206" s="1"/>
      <c r="V206" s="1"/>
      <c r="W206" s="1" t="s">
        <v>11</v>
      </c>
      <c r="X206" s="1" t="s">
        <v>1285</v>
      </c>
      <c r="Y206" s="1" t="s">
        <v>1285</v>
      </c>
      <c r="Z206" s="1" t="s">
        <v>1248</v>
      </c>
      <c r="AA206" s="1" t="s">
        <v>1286</v>
      </c>
      <c r="AB206" s="1" t="s">
        <v>1287</v>
      </c>
      <c r="AC206" s="1" t="s">
        <v>1288</v>
      </c>
      <c r="AD206" s="1" t="s">
        <v>17</v>
      </c>
      <c r="AE206" s="1" t="s">
        <v>18</v>
      </c>
      <c r="AF206" s="1" t="s">
        <v>19</v>
      </c>
      <c r="AG206" s="1" t="s">
        <v>19</v>
      </c>
      <c r="AH206" s="1" t="s">
        <v>1287</v>
      </c>
    </row>
    <row r="207" spans="2:34" ht="15">
      <c r="B207" s="4" t="s">
        <v>20</v>
      </c>
      <c r="C207" s="5">
        <v>43609</v>
      </c>
      <c r="D207" s="4" t="s">
        <v>21</v>
      </c>
      <c r="E207" s="4" t="s">
        <v>1289</v>
      </c>
      <c r="F207" s="4" t="s">
        <v>3</v>
      </c>
      <c r="G207" s="4" t="s">
        <v>4</v>
      </c>
      <c r="H207" s="4" t="s">
        <v>126</v>
      </c>
      <c r="I207" s="5">
        <v>43608</v>
      </c>
      <c r="J207" s="6">
        <v>0.5184837962962963</v>
      </c>
      <c r="K207" s="5">
        <v>43613</v>
      </c>
      <c r="L207" s="4" t="s">
        <v>6</v>
      </c>
      <c r="M207" s="4"/>
      <c r="N207" s="4" t="s">
        <v>1175</v>
      </c>
      <c r="O207" s="4" t="s">
        <v>1176</v>
      </c>
      <c r="P207" s="4" t="s">
        <v>1177</v>
      </c>
      <c r="Q207" s="4" t="s">
        <v>4</v>
      </c>
      <c r="R207" s="4" t="s">
        <v>4</v>
      </c>
      <c r="S207" s="4" t="s">
        <v>10</v>
      </c>
      <c r="T207" s="4"/>
      <c r="U207" s="4"/>
      <c r="V207" s="4"/>
      <c r="W207" s="4" t="s">
        <v>11</v>
      </c>
      <c r="X207" s="4" t="s">
        <v>319</v>
      </c>
      <c r="Y207" s="4" t="s">
        <v>319</v>
      </c>
      <c r="Z207" s="4" t="s">
        <v>1290</v>
      </c>
      <c r="AA207" s="4" t="s">
        <v>1291</v>
      </c>
      <c r="AB207" s="4" t="s">
        <v>1292</v>
      </c>
      <c r="AC207" s="4" t="s">
        <v>1293</v>
      </c>
      <c r="AD207" s="4" t="s">
        <v>17</v>
      </c>
      <c r="AE207" s="4" t="s">
        <v>18</v>
      </c>
      <c r="AF207" s="4" t="s">
        <v>19</v>
      </c>
      <c r="AG207" s="4" t="s">
        <v>19</v>
      </c>
      <c r="AH207" s="4" t="s">
        <v>1292</v>
      </c>
    </row>
    <row r="208" spans="2:34" ht="15">
      <c r="B208" s="1" t="s">
        <v>20</v>
      </c>
      <c r="C208" s="2">
        <v>43609</v>
      </c>
      <c r="D208" s="1" t="s">
        <v>21</v>
      </c>
      <c r="E208" s="1" t="s">
        <v>1294</v>
      </c>
      <c r="F208" s="1" t="s">
        <v>3</v>
      </c>
      <c r="G208" s="1" t="s">
        <v>4</v>
      </c>
      <c r="H208" s="1" t="s">
        <v>119</v>
      </c>
      <c r="I208" s="2">
        <v>43608</v>
      </c>
      <c r="J208" s="3">
        <v>0.6764467592592592</v>
      </c>
      <c r="K208" s="2">
        <v>43613</v>
      </c>
      <c r="L208" s="1" t="s">
        <v>6</v>
      </c>
      <c r="M208" s="1"/>
      <c r="N208" s="1" t="s">
        <v>950</v>
      </c>
      <c r="O208" s="1" t="s">
        <v>951</v>
      </c>
      <c r="P208" s="1" t="s">
        <v>952</v>
      </c>
      <c r="Q208" s="1" t="s">
        <v>4</v>
      </c>
      <c r="R208" s="1" t="s">
        <v>4</v>
      </c>
      <c r="S208" s="1" t="s">
        <v>10</v>
      </c>
      <c r="T208" s="1"/>
      <c r="U208" s="1"/>
      <c r="V208" s="1"/>
      <c r="W208" s="1" t="s">
        <v>11</v>
      </c>
      <c r="X208" s="1" t="s">
        <v>1295</v>
      </c>
      <c r="Y208" s="1" t="s">
        <v>1295</v>
      </c>
      <c r="Z208" s="1" t="s">
        <v>1248</v>
      </c>
      <c r="AA208" s="1" t="s">
        <v>1296</v>
      </c>
      <c r="AB208" s="1" t="s">
        <v>1297</v>
      </c>
      <c r="AC208" s="1" t="s">
        <v>1298</v>
      </c>
      <c r="AD208" s="1" t="s">
        <v>17</v>
      </c>
      <c r="AE208" s="1" t="s">
        <v>18</v>
      </c>
      <c r="AF208" s="1" t="s">
        <v>19</v>
      </c>
      <c r="AG208" s="1" t="s">
        <v>19</v>
      </c>
      <c r="AH208" s="1" t="s">
        <v>1297</v>
      </c>
    </row>
    <row r="209" spans="2:34" ht="15">
      <c r="B209" s="4" t="s">
        <v>0</v>
      </c>
      <c r="C209" s="5">
        <v>43609</v>
      </c>
      <c r="D209" s="4" t="s">
        <v>1</v>
      </c>
      <c r="E209" s="4" t="s">
        <v>1299</v>
      </c>
      <c r="F209" s="4" t="s">
        <v>3</v>
      </c>
      <c r="G209" s="4" t="s">
        <v>4</v>
      </c>
      <c r="H209" s="4" t="s">
        <v>119</v>
      </c>
      <c r="I209" s="5">
        <v>43608</v>
      </c>
      <c r="J209" s="6">
        <v>0.6764467592592592</v>
      </c>
      <c r="K209" s="5">
        <v>43613</v>
      </c>
      <c r="L209" s="4" t="s">
        <v>6</v>
      </c>
      <c r="M209" s="4"/>
      <c r="N209" s="4" t="s">
        <v>950</v>
      </c>
      <c r="O209" s="4" t="s">
        <v>951</v>
      </c>
      <c r="P209" s="4" t="s">
        <v>952</v>
      </c>
      <c r="Q209" s="4" t="s">
        <v>4</v>
      </c>
      <c r="R209" s="4" t="s">
        <v>4</v>
      </c>
      <c r="S209" s="4" t="s">
        <v>10</v>
      </c>
      <c r="T209" s="4"/>
      <c r="U209" s="4"/>
      <c r="V209" s="4"/>
      <c r="W209" s="4" t="s">
        <v>11</v>
      </c>
      <c r="X209" s="4" t="s">
        <v>1300</v>
      </c>
      <c r="Y209" s="4" t="s">
        <v>1300</v>
      </c>
      <c r="Z209" s="4" t="s">
        <v>1248</v>
      </c>
      <c r="AA209" s="4" t="s">
        <v>1301</v>
      </c>
      <c r="AB209" s="4" t="s">
        <v>1302</v>
      </c>
      <c r="AC209" s="4" t="s">
        <v>1303</v>
      </c>
      <c r="AD209" s="4" t="s">
        <v>17</v>
      </c>
      <c r="AE209" s="4" t="s">
        <v>18</v>
      </c>
      <c r="AF209" s="4" t="s">
        <v>19</v>
      </c>
      <c r="AG209" s="4" t="s">
        <v>19</v>
      </c>
      <c r="AH209" s="4" t="s">
        <v>1302</v>
      </c>
    </row>
    <row r="210" spans="2:34" ht="15">
      <c r="B210" s="1" t="s">
        <v>20</v>
      </c>
      <c r="C210" s="2">
        <v>43613</v>
      </c>
      <c r="D210" s="1" t="s">
        <v>21</v>
      </c>
      <c r="E210" s="1" t="s">
        <v>1304</v>
      </c>
      <c r="F210" s="1" t="s">
        <v>3</v>
      </c>
      <c r="G210" s="1" t="s">
        <v>4</v>
      </c>
      <c r="H210" s="1" t="s">
        <v>119</v>
      </c>
      <c r="I210" s="2">
        <v>43609</v>
      </c>
      <c r="J210" s="3">
        <v>0.6620023148148149</v>
      </c>
      <c r="K210" s="2">
        <v>43614</v>
      </c>
      <c r="L210" s="1" t="s">
        <v>6</v>
      </c>
      <c r="M210" s="1"/>
      <c r="N210" s="1" t="s">
        <v>950</v>
      </c>
      <c r="O210" s="1" t="s">
        <v>951</v>
      </c>
      <c r="P210" s="1" t="s">
        <v>952</v>
      </c>
      <c r="Q210" s="1" t="s">
        <v>4</v>
      </c>
      <c r="R210" s="1" t="s">
        <v>4</v>
      </c>
      <c r="S210" s="1" t="s">
        <v>10</v>
      </c>
      <c r="T210" s="1"/>
      <c r="U210" s="1"/>
      <c r="V210" s="1"/>
      <c r="W210" s="1" t="s">
        <v>11</v>
      </c>
      <c r="X210" s="1" t="s">
        <v>1305</v>
      </c>
      <c r="Y210" s="1" t="s">
        <v>1305</v>
      </c>
      <c r="Z210" s="1" t="s">
        <v>1248</v>
      </c>
      <c r="AA210" s="1" t="s">
        <v>1306</v>
      </c>
      <c r="AB210" s="1" t="s">
        <v>1307</v>
      </c>
      <c r="AC210" s="1" t="s">
        <v>1308</v>
      </c>
      <c r="AD210" s="1" t="s">
        <v>17</v>
      </c>
      <c r="AE210" s="1" t="s">
        <v>18</v>
      </c>
      <c r="AF210" s="1" t="s">
        <v>19</v>
      </c>
      <c r="AG210" s="1" t="s">
        <v>19</v>
      </c>
      <c r="AH210" s="1" t="s">
        <v>1307</v>
      </c>
    </row>
    <row r="211" spans="2:34" ht="15">
      <c r="B211" s="4" t="s">
        <v>0</v>
      </c>
      <c r="C211" s="5">
        <v>43613</v>
      </c>
      <c r="D211" s="4" t="s">
        <v>1</v>
      </c>
      <c r="E211" s="4" t="s">
        <v>1309</v>
      </c>
      <c r="F211" s="4" t="s">
        <v>3</v>
      </c>
      <c r="G211" s="4" t="s">
        <v>4</v>
      </c>
      <c r="H211" s="4" t="s">
        <v>119</v>
      </c>
      <c r="I211" s="5">
        <v>43609</v>
      </c>
      <c r="J211" s="6">
        <v>0.6620023148148149</v>
      </c>
      <c r="K211" s="5">
        <v>43614</v>
      </c>
      <c r="L211" s="4" t="s">
        <v>6</v>
      </c>
      <c r="M211" s="4"/>
      <c r="N211" s="4" t="s">
        <v>950</v>
      </c>
      <c r="O211" s="4" t="s">
        <v>951</v>
      </c>
      <c r="P211" s="4" t="s">
        <v>952</v>
      </c>
      <c r="Q211" s="4" t="s">
        <v>4</v>
      </c>
      <c r="R211" s="4" t="s">
        <v>4</v>
      </c>
      <c r="S211" s="4" t="s">
        <v>10</v>
      </c>
      <c r="T211" s="4"/>
      <c r="U211" s="4"/>
      <c r="V211" s="4"/>
      <c r="W211" s="4" t="s">
        <v>11</v>
      </c>
      <c r="X211" s="4" t="s">
        <v>1310</v>
      </c>
      <c r="Y211" s="4" t="s">
        <v>1310</v>
      </c>
      <c r="Z211" s="4" t="s">
        <v>1248</v>
      </c>
      <c r="AA211" s="4" t="s">
        <v>1311</v>
      </c>
      <c r="AB211" s="4" t="s">
        <v>1312</v>
      </c>
      <c r="AC211" s="4" t="s">
        <v>1313</v>
      </c>
      <c r="AD211" s="4" t="s">
        <v>17</v>
      </c>
      <c r="AE211" s="4" t="s">
        <v>18</v>
      </c>
      <c r="AF211" s="4" t="s">
        <v>19</v>
      </c>
      <c r="AG211" s="4" t="s">
        <v>19</v>
      </c>
      <c r="AH211" s="4" t="s">
        <v>1312</v>
      </c>
    </row>
    <row r="212" spans="2:34" ht="15">
      <c r="B212" s="1" t="s">
        <v>0</v>
      </c>
      <c r="C212" s="2">
        <v>43616</v>
      </c>
      <c r="D212" s="1" t="s">
        <v>1</v>
      </c>
      <c r="E212" s="1" t="s">
        <v>1314</v>
      </c>
      <c r="F212" s="1" t="s">
        <v>3</v>
      </c>
      <c r="G212" s="1" t="s">
        <v>4</v>
      </c>
      <c r="H212" s="1" t="s">
        <v>119</v>
      </c>
      <c r="I212" s="2">
        <v>43616</v>
      </c>
      <c r="J212" s="3">
        <v>0.3701388888888889</v>
      </c>
      <c r="K212" s="2">
        <v>43620</v>
      </c>
      <c r="L212" s="1" t="s">
        <v>6</v>
      </c>
      <c r="M212" s="1"/>
      <c r="N212" s="1" t="s">
        <v>194</v>
      </c>
      <c r="O212" s="1" t="s">
        <v>195</v>
      </c>
      <c r="P212" s="1" t="s">
        <v>196</v>
      </c>
      <c r="Q212" s="1" t="s">
        <v>4</v>
      </c>
      <c r="R212" s="1" t="s">
        <v>4</v>
      </c>
      <c r="S212" s="1" t="s">
        <v>10</v>
      </c>
      <c r="T212" s="1"/>
      <c r="U212" s="1"/>
      <c r="V212" s="1"/>
      <c r="W212" s="1" t="s">
        <v>27</v>
      </c>
      <c r="X212" s="1" t="s">
        <v>1315</v>
      </c>
      <c r="Y212" s="1" t="s">
        <v>1315</v>
      </c>
      <c r="Z212" s="1" t="s">
        <v>1316</v>
      </c>
      <c r="AA212" s="1" t="s">
        <v>1317</v>
      </c>
      <c r="AB212" s="1" t="s">
        <v>1318</v>
      </c>
      <c r="AC212" s="1" t="s">
        <v>1319</v>
      </c>
      <c r="AD212" s="1" t="s">
        <v>17</v>
      </c>
      <c r="AE212" s="1" t="s">
        <v>1320</v>
      </c>
      <c r="AF212" s="1" t="s">
        <v>19</v>
      </c>
      <c r="AG212" s="1" t="s">
        <v>19</v>
      </c>
      <c r="AH212" s="1" t="s">
        <v>1318</v>
      </c>
    </row>
    <row r="213" spans="2:34" ht="15">
      <c r="B213" s="4" t="s">
        <v>0</v>
      </c>
      <c r="C213" s="5">
        <v>43616</v>
      </c>
      <c r="D213" s="4" t="s">
        <v>1</v>
      </c>
      <c r="E213" s="4" t="s">
        <v>1321</v>
      </c>
      <c r="F213" s="4" t="s">
        <v>3</v>
      </c>
      <c r="G213" s="4" t="s">
        <v>4</v>
      </c>
      <c r="H213" s="4" t="s">
        <v>119</v>
      </c>
      <c r="I213" s="5">
        <v>43616</v>
      </c>
      <c r="J213" s="6">
        <v>0.38394675925925925</v>
      </c>
      <c r="K213" s="5">
        <v>43620</v>
      </c>
      <c r="L213" s="4" t="s">
        <v>6</v>
      </c>
      <c r="M213" s="4"/>
      <c r="N213" s="4" t="s">
        <v>214</v>
      </c>
      <c r="O213" s="4" t="s">
        <v>215</v>
      </c>
      <c r="P213" s="4" t="s">
        <v>216</v>
      </c>
      <c r="Q213" s="4" t="s">
        <v>4</v>
      </c>
      <c r="R213" s="4" t="s">
        <v>4</v>
      </c>
      <c r="S213" s="4" t="s">
        <v>10</v>
      </c>
      <c r="T213" s="4"/>
      <c r="U213" s="4"/>
      <c r="V213" s="4"/>
      <c r="W213" s="4" t="s">
        <v>27</v>
      </c>
      <c r="X213" s="4" t="s">
        <v>1322</v>
      </c>
      <c r="Y213" s="4" t="s">
        <v>1322</v>
      </c>
      <c r="Z213" s="4" t="s">
        <v>1323</v>
      </c>
      <c r="AA213" s="4" t="s">
        <v>1324</v>
      </c>
      <c r="AB213" s="4" t="s">
        <v>1325</v>
      </c>
      <c r="AC213" s="4" t="s">
        <v>1326</v>
      </c>
      <c r="AD213" s="4" t="s">
        <v>17</v>
      </c>
      <c r="AE213" s="4" t="s">
        <v>1327</v>
      </c>
      <c r="AF213" s="4" t="s">
        <v>19</v>
      </c>
      <c r="AG213" s="4" t="s">
        <v>19</v>
      </c>
      <c r="AH213" s="4" t="s">
        <v>1325</v>
      </c>
    </row>
    <row r="214" spans="2:34" ht="15">
      <c r="B214" s="1" t="s">
        <v>0</v>
      </c>
      <c r="C214" s="2">
        <v>43616</v>
      </c>
      <c r="D214" s="1" t="s">
        <v>1</v>
      </c>
      <c r="E214" s="1" t="s">
        <v>1328</v>
      </c>
      <c r="F214" s="1" t="s">
        <v>3</v>
      </c>
      <c r="G214" s="1" t="s">
        <v>4</v>
      </c>
      <c r="H214" s="1" t="s">
        <v>119</v>
      </c>
      <c r="I214" s="2">
        <v>43616</v>
      </c>
      <c r="J214" s="3">
        <v>0.35439814814814813</v>
      </c>
      <c r="K214" s="2">
        <v>43620</v>
      </c>
      <c r="L214" s="1" t="s">
        <v>6</v>
      </c>
      <c r="M214" s="1"/>
      <c r="N214" s="1" t="s">
        <v>663</v>
      </c>
      <c r="O214" s="1" t="s">
        <v>664</v>
      </c>
      <c r="P214" s="1" t="s">
        <v>665</v>
      </c>
      <c r="Q214" s="1" t="s">
        <v>4</v>
      </c>
      <c r="R214" s="1" t="s">
        <v>4</v>
      </c>
      <c r="S214" s="1" t="s">
        <v>10</v>
      </c>
      <c r="T214" s="1"/>
      <c r="U214" s="1"/>
      <c r="V214" s="1"/>
      <c r="W214" s="1" t="s">
        <v>27</v>
      </c>
      <c r="X214" s="1" t="s">
        <v>1329</v>
      </c>
      <c r="Y214" s="1" t="s">
        <v>1329</v>
      </c>
      <c r="Z214" s="1" t="s">
        <v>1330</v>
      </c>
      <c r="AA214" s="1" t="s">
        <v>1331</v>
      </c>
      <c r="AB214" s="1" t="s">
        <v>1332</v>
      </c>
      <c r="AC214" s="1" t="s">
        <v>1333</v>
      </c>
      <c r="AD214" s="1" t="s">
        <v>17</v>
      </c>
      <c r="AE214" s="1" t="s">
        <v>1334</v>
      </c>
      <c r="AF214" s="1" t="s">
        <v>19</v>
      </c>
      <c r="AG214" s="1" t="s">
        <v>19</v>
      </c>
      <c r="AH214" s="1" t="s">
        <v>1332</v>
      </c>
    </row>
    <row r="215" spans="2:34" ht="15">
      <c r="B215" s="4" t="s">
        <v>0</v>
      </c>
      <c r="C215" s="5">
        <v>43616</v>
      </c>
      <c r="D215" s="4" t="s">
        <v>1</v>
      </c>
      <c r="E215" s="4" t="s">
        <v>1335</v>
      </c>
      <c r="F215" s="4" t="s">
        <v>3</v>
      </c>
      <c r="G215" s="4" t="s">
        <v>4</v>
      </c>
      <c r="H215" s="4" t="s">
        <v>90</v>
      </c>
      <c r="I215" s="5">
        <v>43616</v>
      </c>
      <c r="J215" s="6">
        <v>0.3780208333333333</v>
      </c>
      <c r="K215" s="5">
        <v>43620</v>
      </c>
      <c r="L215" s="4" t="s">
        <v>6</v>
      </c>
      <c r="M215" s="4"/>
      <c r="N215" s="4" t="s">
        <v>307</v>
      </c>
      <c r="O215" s="4" t="s">
        <v>308</v>
      </c>
      <c r="P215" s="4" t="s">
        <v>309</v>
      </c>
      <c r="Q215" s="4" t="s">
        <v>4</v>
      </c>
      <c r="R215" s="4" t="s">
        <v>4</v>
      </c>
      <c r="S215" s="4" t="s">
        <v>10</v>
      </c>
      <c r="T215" s="4"/>
      <c r="U215" s="4"/>
      <c r="V215" s="4"/>
      <c r="W215" s="4" t="s">
        <v>27</v>
      </c>
      <c r="X215" s="4" t="s">
        <v>1336</v>
      </c>
      <c r="Y215" s="4" t="s">
        <v>1336</v>
      </c>
      <c r="Z215" s="4" t="s">
        <v>981</v>
      </c>
      <c r="AA215" s="4" t="s">
        <v>1337</v>
      </c>
      <c r="AB215" s="4" t="s">
        <v>1338</v>
      </c>
      <c r="AC215" s="4" t="s">
        <v>1339</v>
      </c>
      <c r="AD215" s="4" t="s">
        <v>17</v>
      </c>
      <c r="AE215" s="4" t="s">
        <v>18</v>
      </c>
      <c r="AF215" s="4" t="s">
        <v>19</v>
      </c>
      <c r="AG215" s="4" t="s">
        <v>19</v>
      </c>
      <c r="AH215" s="4" t="s">
        <v>1338</v>
      </c>
    </row>
    <row r="216" spans="2:34" ht="15">
      <c r="B216" s="1" t="s">
        <v>0</v>
      </c>
      <c r="C216" s="2">
        <v>43616</v>
      </c>
      <c r="D216" s="1" t="s">
        <v>1</v>
      </c>
      <c r="E216" s="1" t="s">
        <v>1340</v>
      </c>
      <c r="F216" s="1" t="s">
        <v>3</v>
      </c>
      <c r="G216" s="1" t="s">
        <v>4</v>
      </c>
      <c r="H216" s="1" t="s">
        <v>119</v>
      </c>
      <c r="I216" s="2">
        <v>43616</v>
      </c>
      <c r="J216" s="3">
        <v>0.37081018518518516</v>
      </c>
      <c r="K216" s="2">
        <v>43620</v>
      </c>
      <c r="L216" s="1" t="s">
        <v>6</v>
      </c>
      <c r="M216" s="1"/>
      <c r="N216" s="1" t="s">
        <v>136</v>
      </c>
      <c r="O216" s="1" t="s">
        <v>137</v>
      </c>
      <c r="P216" s="1" t="s">
        <v>138</v>
      </c>
      <c r="Q216" s="1" t="s">
        <v>4</v>
      </c>
      <c r="R216" s="1" t="s">
        <v>4</v>
      </c>
      <c r="S216" s="1" t="s">
        <v>10</v>
      </c>
      <c r="T216" s="1"/>
      <c r="U216" s="1"/>
      <c r="V216" s="1"/>
      <c r="W216" s="1" t="s">
        <v>27</v>
      </c>
      <c r="X216" s="1" t="s">
        <v>1341</v>
      </c>
      <c r="Y216" s="1" t="s">
        <v>1341</v>
      </c>
      <c r="Z216" s="1" t="s">
        <v>1342</v>
      </c>
      <c r="AA216" s="1" t="s">
        <v>1343</v>
      </c>
      <c r="AB216" s="1" t="s">
        <v>1344</v>
      </c>
      <c r="AC216" s="1" t="s">
        <v>1345</v>
      </c>
      <c r="AD216" s="1" t="s">
        <v>17</v>
      </c>
      <c r="AE216" s="1" t="s">
        <v>17</v>
      </c>
      <c r="AF216" s="1" t="s">
        <v>19</v>
      </c>
      <c r="AG216" s="1" t="s">
        <v>19</v>
      </c>
      <c r="AH216" s="1" t="s">
        <v>1344</v>
      </c>
    </row>
    <row r="217" spans="2:34" ht="15">
      <c r="B217" s="4" t="s">
        <v>0</v>
      </c>
      <c r="C217" s="5">
        <v>43616</v>
      </c>
      <c r="D217" s="4" t="s">
        <v>1</v>
      </c>
      <c r="E217" s="4" t="s">
        <v>1346</v>
      </c>
      <c r="F217" s="4" t="s">
        <v>3</v>
      </c>
      <c r="G217" s="4" t="s">
        <v>4</v>
      </c>
      <c r="H217" s="4" t="s">
        <v>119</v>
      </c>
      <c r="I217" s="5">
        <v>43616</v>
      </c>
      <c r="J217" s="6">
        <v>0.4260185185185185</v>
      </c>
      <c r="K217" s="5">
        <v>43620</v>
      </c>
      <c r="L217" s="4" t="s">
        <v>6</v>
      </c>
      <c r="M217" s="4"/>
      <c r="N217" s="4" t="s">
        <v>204</v>
      </c>
      <c r="O217" s="4" t="s">
        <v>205</v>
      </c>
      <c r="P217" s="4" t="s">
        <v>206</v>
      </c>
      <c r="Q217" s="4" t="s">
        <v>4</v>
      </c>
      <c r="R217" s="4" t="s">
        <v>4</v>
      </c>
      <c r="S217" s="4" t="s">
        <v>10</v>
      </c>
      <c r="T217" s="4"/>
      <c r="U217" s="4"/>
      <c r="V217" s="4"/>
      <c r="W217" s="4" t="s">
        <v>27</v>
      </c>
      <c r="X217" s="4" t="s">
        <v>1347</v>
      </c>
      <c r="Y217" s="4" t="s">
        <v>1347</v>
      </c>
      <c r="Z217" s="4" t="s">
        <v>121</v>
      </c>
      <c r="AA217" s="4" t="s">
        <v>1348</v>
      </c>
      <c r="AB217" s="4" t="s">
        <v>1349</v>
      </c>
      <c r="AC217" s="4" t="s">
        <v>1350</v>
      </c>
      <c r="AD217" s="4" t="s">
        <v>17</v>
      </c>
      <c r="AE217" s="4" t="s">
        <v>1351</v>
      </c>
      <c r="AF217" s="4" t="s">
        <v>19</v>
      </c>
      <c r="AG217" s="4" t="s">
        <v>19</v>
      </c>
      <c r="AH217" s="4" t="s">
        <v>1349</v>
      </c>
    </row>
    <row r="218" spans="2:34" ht="15">
      <c r="B218" s="1" t="s">
        <v>0</v>
      </c>
      <c r="C218" s="2">
        <v>43616</v>
      </c>
      <c r="D218" s="1" t="s">
        <v>1</v>
      </c>
      <c r="E218" s="1" t="s">
        <v>1352</v>
      </c>
      <c r="F218" s="1" t="s">
        <v>3</v>
      </c>
      <c r="G218" s="1" t="s">
        <v>4</v>
      </c>
      <c r="H218" s="1" t="s">
        <v>23</v>
      </c>
      <c r="I218" s="2">
        <v>43616</v>
      </c>
      <c r="J218" s="3">
        <v>0.3940162037037037</v>
      </c>
      <c r="K218" s="2">
        <v>43620</v>
      </c>
      <c r="L218" s="1" t="s">
        <v>6</v>
      </c>
      <c r="M218" s="1"/>
      <c r="N218" s="1" t="s">
        <v>174</v>
      </c>
      <c r="O218" s="1" t="s">
        <v>175</v>
      </c>
      <c r="P218" s="1" t="s">
        <v>176</v>
      </c>
      <c r="Q218" s="1" t="s">
        <v>4</v>
      </c>
      <c r="R218" s="1" t="s">
        <v>4</v>
      </c>
      <c r="S218" s="1" t="s">
        <v>10</v>
      </c>
      <c r="T218" s="1"/>
      <c r="U218" s="1"/>
      <c r="V218" s="1"/>
      <c r="W218" s="1" t="s">
        <v>27</v>
      </c>
      <c r="X218" s="1" t="s">
        <v>1353</v>
      </c>
      <c r="Y218" s="1" t="s">
        <v>1353</v>
      </c>
      <c r="Z218" s="1" t="s">
        <v>1354</v>
      </c>
      <c r="AA218" s="1" t="s">
        <v>1355</v>
      </c>
      <c r="AB218" s="1" t="s">
        <v>1356</v>
      </c>
      <c r="AC218" s="1" t="s">
        <v>1357</v>
      </c>
      <c r="AD218" s="1" t="s">
        <v>17</v>
      </c>
      <c r="AE218" s="1" t="s">
        <v>18</v>
      </c>
      <c r="AF218" s="1" t="s">
        <v>19</v>
      </c>
      <c r="AG218" s="1" t="s">
        <v>19</v>
      </c>
      <c r="AH218" s="1" t="s">
        <v>1356</v>
      </c>
    </row>
    <row r="219" spans="2:34" ht="15">
      <c r="B219" s="4" t="s">
        <v>0</v>
      </c>
      <c r="C219" s="5">
        <v>43616</v>
      </c>
      <c r="D219" s="4" t="s">
        <v>1</v>
      </c>
      <c r="E219" s="4" t="s">
        <v>1358</v>
      </c>
      <c r="F219" s="4" t="s">
        <v>3</v>
      </c>
      <c r="G219" s="4" t="s">
        <v>4</v>
      </c>
      <c r="H219" s="4" t="s">
        <v>325</v>
      </c>
      <c r="I219" s="5">
        <v>43616</v>
      </c>
      <c r="J219" s="6">
        <v>0.4527777777777778</v>
      </c>
      <c r="K219" s="5">
        <v>43620</v>
      </c>
      <c r="L219" s="4" t="s">
        <v>6</v>
      </c>
      <c r="M219" s="4"/>
      <c r="N219" s="4" t="s">
        <v>250</v>
      </c>
      <c r="O219" s="4" t="s">
        <v>251</v>
      </c>
      <c r="P219" s="4" t="s">
        <v>252</v>
      </c>
      <c r="Q219" s="4" t="s">
        <v>4</v>
      </c>
      <c r="R219" s="4" t="s">
        <v>4</v>
      </c>
      <c r="S219" s="4" t="s">
        <v>10</v>
      </c>
      <c r="T219" s="4"/>
      <c r="U219" s="4"/>
      <c r="V219" s="4"/>
      <c r="W219" s="4" t="s">
        <v>27</v>
      </c>
      <c r="X219" s="4" t="s">
        <v>1359</v>
      </c>
      <c r="Y219" s="4" t="s">
        <v>1359</v>
      </c>
      <c r="Z219" s="4" t="s">
        <v>1360</v>
      </c>
      <c r="AA219" s="4" t="s">
        <v>1361</v>
      </c>
      <c r="AB219" s="4" t="s">
        <v>1362</v>
      </c>
      <c r="AC219" s="4" t="s">
        <v>1363</v>
      </c>
      <c r="AD219" s="4" t="s">
        <v>17</v>
      </c>
      <c r="AE219" s="4" t="s">
        <v>1364</v>
      </c>
      <c r="AF219" s="4" t="s">
        <v>19</v>
      </c>
      <c r="AG219" s="4" t="s">
        <v>19</v>
      </c>
      <c r="AH219" s="4" t="s">
        <v>1362</v>
      </c>
    </row>
    <row r="220" spans="2:34" ht="15">
      <c r="B220" s="1" t="s">
        <v>0</v>
      </c>
      <c r="C220" s="2">
        <v>43616</v>
      </c>
      <c r="D220" s="1" t="s">
        <v>1</v>
      </c>
      <c r="E220" s="1" t="s">
        <v>1365</v>
      </c>
      <c r="F220" s="1" t="s">
        <v>3</v>
      </c>
      <c r="G220" s="1" t="s">
        <v>4</v>
      </c>
      <c r="H220" s="1" t="s">
        <v>1366</v>
      </c>
      <c r="I220" s="2">
        <v>43616</v>
      </c>
      <c r="J220" s="3">
        <v>0.39836805555555554</v>
      </c>
      <c r="K220" s="2">
        <v>43620</v>
      </c>
      <c r="L220" s="1" t="s">
        <v>6</v>
      </c>
      <c r="M220" s="1"/>
      <c r="N220" s="1" t="s">
        <v>401</v>
      </c>
      <c r="O220" s="1" t="s">
        <v>402</v>
      </c>
      <c r="P220" s="1" t="s">
        <v>403</v>
      </c>
      <c r="Q220" s="1" t="s">
        <v>4</v>
      </c>
      <c r="R220" s="1" t="s">
        <v>4</v>
      </c>
      <c r="S220" s="1" t="s">
        <v>10</v>
      </c>
      <c r="T220" s="1"/>
      <c r="U220" s="1"/>
      <c r="V220" s="1"/>
      <c r="W220" s="1" t="s">
        <v>27</v>
      </c>
      <c r="X220" s="1" t="s">
        <v>1367</v>
      </c>
      <c r="Y220" s="1" t="s">
        <v>1367</v>
      </c>
      <c r="Z220" s="1" t="s">
        <v>1368</v>
      </c>
      <c r="AA220" s="1" t="s">
        <v>1369</v>
      </c>
      <c r="AB220" s="1" t="s">
        <v>1370</v>
      </c>
      <c r="AC220" s="1" t="s">
        <v>1371</v>
      </c>
      <c r="AD220" s="1" t="s">
        <v>17</v>
      </c>
      <c r="AE220" s="1" t="s">
        <v>18</v>
      </c>
      <c r="AF220" s="1" t="s">
        <v>19</v>
      </c>
      <c r="AG220" s="1" t="s">
        <v>19</v>
      </c>
      <c r="AH220" s="1" t="s">
        <v>1370</v>
      </c>
    </row>
    <row r="221" spans="2:34" ht="15">
      <c r="B221" s="4" t="s">
        <v>0</v>
      </c>
      <c r="C221" s="5">
        <v>43616</v>
      </c>
      <c r="D221" s="4" t="s">
        <v>1</v>
      </c>
      <c r="E221" s="4" t="s">
        <v>1372</v>
      </c>
      <c r="F221" s="4" t="s">
        <v>3</v>
      </c>
      <c r="G221" s="4" t="s">
        <v>4</v>
      </c>
      <c r="H221" s="4" t="s">
        <v>325</v>
      </c>
      <c r="I221" s="5">
        <v>43616</v>
      </c>
      <c r="J221" s="6">
        <v>0.45069444444444445</v>
      </c>
      <c r="K221" s="5">
        <v>43620</v>
      </c>
      <c r="L221" s="4" t="s">
        <v>6</v>
      </c>
      <c r="M221" s="4"/>
      <c r="N221" s="4" t="s">
        <v>316</v>
      </c>
      <c r="O221" s="4" t="s">
        <v>317</v>
      </c>
      <c r="P221" s="4" t="s">
        <v>318</v>
      </c>
      <c r="Q221" s="4" t="s">
        <v>4</v>
      </c>
      <c r="R221" s="4" t="s">
        <v>4</v>
      </c>
      <c r="S221" s="4" t="s">
        <v>10</v>
      </c>
      <c r="T221" s="4"/>
      <c r="U221" s="4"/>
      <c r="V221" s="4"/>
      <c r="W221" s="4" t="s">
        <v>27</v>
      </c>
      <c r="X221" s="4" t="s">
        <v>1373</v>
      </c>
      <c r="Y221" s="4" t="s">
        <v>1373</v>
      </c>
      <c r="Z221" s="4" t="s">
        <v>1374</v>
      </c>
      <c r="AA221" s="4" t="s">
        <v>1375</v>
      </c>
      <c r="AB221" s="4" t="s">
        <v>1376</v>
      </c>
      <c r="AC221" s="4" t="s">
        <v>1377</v>
      </c>
      <c r="AD221" s="4" t="s">
        <v>17</v>
      </c>
      <c r="AE221" s="4" t="s">
        <v>1378</v>
      </c>
      <c r="AF221" s="4" t="s">
        <v>19</v>
      </c>
      <c r="AG221" s="4" t="s">
        <v>19</v>
      </c>
      <c r="AH221" s="4" t="s">
        <v>1376</v>
      </c>
    </row>
    <row r="222" spans="2:34" ht="15">
      <c r="B222" s="1" t="s">
        <v>0</v>
      </c>
      <c r="C222" s="2">
        <v>43616</v>
      </c>
      <c r="D222" s="1" t="s">
        <v>1</v>
      </c>
      <c r="E222" s="1" t="s">
        <v>1379</v>
      </c>
      <c r="F222" s="1" t="s">
        <v>3</v>
      </c>
      <c r="G222" s="1" t="s">
        <v>4</v>
      </c>
      <c r="H222" s="1" t="s">
        <v>119</v>
      </c>
      <c r="I222" s="2">
        <v>43616</v>
      </c>
      <c r="J222" s="3">
        <v>0.4509837962962963</v>
      </c>
      <c r="K222" s="2">
        <v>43620</v>
      </c>
      <c r="L222" s="1" t="s">
        <v>6</v>
      </c>
      <c r="M222" s="1"/>
      <c r="N222" s="1" t="s">
        <v>223</v>
      </c>
      <c r="O222" s="1" t="s">
        <v>224</v>
      </c>
      <c r="P222" s="1" t="s">
        <v>225</v>
      </c>
      <c r="Q222" s="1" t="s">
        <v>4</v>
      </c>
      <c r="R222" s="1" t="s">
        <v>4</v>
      </c>
      <c r="S222" s="1" t="s">
        <v>10</v>
      </c>
      <c r="T222" s="1"/>
      <c r="U222" s="1"/>
      <c r="V222" s="1"/>
      <c r="W222" s="1" t="s">
        <v>27</v>
      </c>
      <c r="X222" s="1" t="s">
        <v>1380</v>
      </c>
      <c r="Y222" s="1" t="s">
        <v>1380</v>
      </c>
      <c r="Z222" s="1" t="s">
        <v>1381</v>
      </c>
      <c r="AA222" s="1" t="s">
        <v>1382</v>
      </c>
      <c r="AB222" s="1" t="s">
        <v>1383</v>
      </c>
      <c r="AC222" s="1" t="s">
        <v>1384</v>
      </c>
      <c r="AD222" s="1" t="s">
        <v>17</v>
      </c>
      <c r="AE222" s="1" t="s">
        <v>1385</v>
      </c>
      <c r="AF222" s="1" t="s">
        <v>19</v>
      </c>
      <c r="AG222" s="1" t="s">
        <v>19</v>
      </c>
      <c r="AH222" s="1" t="s">
        <v>1383</v>
      </c>
    </row>
    <row r="223" spans="2:34" ht="15">
      <c r="B223" s="7" t="s">
        <v>0</v>
      </c>
      <c r="C223" s="8">
        <v>43616</v>
      </c>
      <c r="D223" s="7" t="s">
        <v>1</v>
      </c>
      <c r="E223" s="7" t="s">
        <v>1386</v>
      </c>
      <c r="F223" s="7" t="s">
        <v>3</v>
      </c>
      <c r="G223" s="7" t="s">
        <v>4</v>
      </c>
      <c r="H223" s="7" t="s">
        <v>786</v>
      </c>
      <c r="I223" s="8">
        <v>43616</v>
      </c>
      <c r="J223" s="9">
        <v>0.36666666666666664</v>
      </c>
      <c r="K223" s="8">
        <v>43620</v>
      </c>
      <c r="L223" s="7" t="s">
        <v>6</v>
      </c>
      <c r="M223" s="7"/>
      <c r="N223" s="7" t="s">
        <v>382</v>
      </c>
      <c r="O223" s="7" t="s">
        <v>383</v>
      </c>
      <c r="P223" s="7" t="s">
        <v>1387</v>
      </c>
      <c r="Q223" s="7" t="s">
        <v>4</v>
      </c>
      <c r="R223" s="7" t="s">
        <v>4</v>
      </c>
      <c r="S223" s="7" t="s">
        <v>10</v>
      </c>
      <c r="T223" s="7"/>
      <c r="U223" s="7"/>
      <c r="V223" s="7"/>
      <c r="W223" s="7" t="s">
        <v>27</v>
      </c>
      <c r="X223" s="7" t="s">
        <v>159</v>
      </c>
      <c r="Y223" s="7" t="s">
        <v>159</v>
      </c>
      <c r="Z223" s="7" t="s">
        <v>1388</v>
      </c>
      <c r="AA223" s="7" t="s">
        <v>1389</v>
      </c>
      <c r="AB223" s="7" t="s">
        <v>1390</v>
      </c>
      <c r="AC223" s="7" t="s">
        <v>1391</v>
      </c>
      <c r="AD223" s="7" t="s">
        <v>17</v>
      </c>
      <c r="AE223" s="7" t="s">
        <v>1392</v>
      </c>
      <c r="AF223" s="7" t="s">
        <v>19</v>
      </c>
      <c r="AG223" s="7" t="s">
        <v>19</v>
      </c>
      <c r="AH223" s="7" t="s">
        <v>1390</v>
      </c>
    </row>
    <row r="224" spans="2:34" ht="15">
      <c r="B224" s="1" t="s">
        <v>0</v>
      </c>
      <c r="C224" s="2">
        <v>43616</v>
      </c>
      <c r="D224" s="1" t="s">
        <v>1</v>
      </c>
      <c r="E224" s="1" t="s">
        <v>1335</v>
      </c>
      <c r="F224" s="1" t="s">
        <v>3</v>
      </c>
      <c r="G224" s="1" t="s">
        <v>4</v>
      </c>
      <c r="H224" s="1" t="s">
        <v>90</v>
      </c>
      <c r="I224" s="2">
        <v>43616</v>
      </c>
      <c r="J224" s="3">
        <v>0.3780208333333333</v>
      </c>
      <c r="K224" s="2">
        <v>43620</v>
      </c>
      <c r="L224" s="1" t="s">
        <v>6</v>
      </c>
      <c r="M224" s="1"/>
      <c r="N224" s="1" t="s">
        <v>307</v>
      </c>
      <c r="O224" s="1" t="s">
        <v>308</v>
      </c>
      <c r="P224" s="1" t="s">
        <v>309</v>
      </c>
      <c r="Q224" s="1" t="s">
        <v>4</v>
      </c>
      <c r="R224" s="1" t="s">
        <v>4</v>
      </c>
      <c r="S224" s="1" t="s">
        <v>10</v>
      </c>
      <c r="T224" s="1"/>
      <c r="U224" s="1"/>
      <c r="V224" s="1"/>
      <c r="W224" s="1" t="s">
        <v>27</v>
      </c>
      <c r="X224" s="1" t="s">
        <v>1336</v>
      </c>
      <c r="Y224" s="1" t="s">
        <v>1336</v>
      </c>
      <c r="Z224" s="1" t="s">
        <v>981</v>
      </c>
      <c r="AA224" s="1" t="s">
        <v>1337</v>
      </c>
      <c r="AB224" s="1" t="s">
        <v>1338</v>
      </c>
      <c r="AC224" s="1" t="s">
        <v>1339</v>
      </c>
      <c r="AD224" s="1" t="s">
        <v>17</v>
      </c>
      <c r="AE224" s="1" t="s">
        <v>18</v>
      </c>
      <c r="AF224" s="1" t="s">
        <v>19</v>
      </c>
      <c r="AG224" s="1" t="s">
        <v>19</v>
      </c>
      <c r="AH224" s="1" t="s">
        <v>1338</v>
      </c>
    </row>
    <row r="225" spans="2:34" ht="15">
      <c r="B225" s="4" t="s">
        <v>0</v>
      </c>
      <c r="C225" s="5">
        <v>43616</v>
      </c>
      <c r="D225" s="4" t="s">
        <v>1</v>
      </c>
      <c r="E225" s="4" t="s">
        <v>1352</v>
      </c>
      <c r="F225" s="4" t="s">
        <v>3</v>
      </c>
      <c r="G225" s="4" t="s">
        <v>4</v>
      </c>
      <c r="H225" s="4" t="s">
        <v>23</v>
      </c>
      <c r="I225" s="5">
        <v>43616</v>
      </c>
      <c r="J225" s="6">
        <v>0.3940162037037037</v>
      </c>
      <c r="K225" s="5">
        <v>43620</v>
      </c>
      <c r="L225" s="4" t="s">
        <v>6</v>
      </c>
      <c r="M225" s="4"/>
      <c r="N225" s="4" t="s">
        <v>174</v>
      </c>
      <c r="O225" s="4" t="s">
        <v>175</v>
      </c>
      <c r="P225" s="4" t="s">
        <v>176</v>
      </c>
      <c r="Q225" s="4" t="s">
        <v>4</v>
      </c>
      <c r="R225" s="4" t="s">
        <v>4</v>
      </c>
      <c r="S225" s="4" t="s">
        <v>10</v>
      </c>
      <c r="T225" s="4"/>
      <c r="U225" s="4"/>
      <c r="V225" s="4"/>
      <c r="W225" s="4" t="s">
        <v>27</v>
      </c>
      <c r="X225" s="4" t="s">
        <v>1353</v>
      </c>
      <c r="Y225" s="4" t="s">
        <v>1353</v>
      </c>
      <c r="Z225" s="4" t="s">
        <v>1354</v>
      </c>
      <c r="AA225" s="4" t="s">
        <v>1355</v>
      </c>
      <c r="AB225" s="4" t="s">
        <v>1356</v>
      </c>
      <c r="AC225" s="4" t="s">
        <v>1357</v>
      </c>
      <c r="AD225" s="4" t="s">
        <v>17</v>
      </c>
      <c r="AE225" s="4" t="s">
        <v>18</v>
      </c>
      <c r="AF225" s="4" t="s">
        <v>19</v>
      </c>
      <c r="AG225" s="4" t="s">
        <v>19</v>
      </c>
      <c r="AH225" s="4" t="s">
        <v>1356</v>
      </c>
    </row>
    <row r="226" spans="2:34" ht="15">
      <c r="B226" s="1" t="s">
        <v>0</v>
      </c>
      <c r="C226" s="2">
        <v>43616</v>
      </c>
      <c r="D226" s="1" t="s">
        <v>1</v>
      </c>
      <c r="E226" s="1" t="s">
        <v>1365</v>
      </c>
      <c r="F226" s="1" t="s">
        <v>3</v>
      </c>
      <c r="G226" s="1" t="s">
        <v>4</v>
      </c>
      <c r="H226" s="1" t="s">
        <v>1366</v>
      </c>
      <c r="I226" s="2">
        <v>43616</v>
      </c>
      <c r="J226" s="3">
        <v>0.39836805555555554</v>
      </c>
      <c r="K226" s="2">
        <v>43620</v>
      </c>
      <c r="L226" s="1" t="s">
        <v>6</v>
      </c>
      <c r="M226" s="1"/>
      <c r="N226" s="1" t="s">
        <v>401</v>
      </c>
      <c r="O226" s="1" t="s">
        <v>402</v>
      </c>
      <c r="P226" s="1" t="s">
        <v>403</v>
      </c>
      <c r="Q226" s="1" t="s">
        <v>4</v>
      </c>
      <c r="R226" s="1" t="s">
        <v>4</v>
      </c>
      <c r="S226" s="1" t="s">
        <v>10</v>
      </c>
      <c r="T226" s="1"/>
      <c r="U226" s="1"/>
      <c r="V226" s="1"/>
      <c r="W226" s="1" t="s">
        <v>27</v>
      </c>
      <c r="X226" s="1" t="s">
        <v>1367</v>
      </c>
      <c r="Y226" s="1" t="s">
        <v>1367</v>
      </c>
      <c r="Z226" s="1" t="s">
        <v>1368</v>
      </c>
      <c r="AA226" s="1" t="s">
        <v>1369</v>
      </c>
      <c r="AB226" s="1" t="s">
        <v>1370</v>
      </c>
      <c r="AC226" s="1" t="s">
        <v>1371</v>
      </c>
      <c r="AD226" s="1" t="s">
        <v>17</v>
      </c>
      <c r="AE226" s="1" t="s">
        <v>18</v>
      </c>
      <c r="AF226" s="1" t="s">
        <v>19</v>
      </c>
      <c r="AG226" s="1" t="s">
        <v>19</v>
      </c>
      <c r="AH226" s="1" t="s">
        <v>1370</v>
      </c>
    </row>
    <row r="227" spans="2:34" ht="15">
      <c r="B227" s="4" t="s">
        <v>0</v>
      </c>
      <c r="C227" s="5">
        <v>43619</v>
      </c>
      <c r="D227" s="4" t="s">
        <v>1</v>
      </c>
      <c r="E227" s="4" t="s">
        <v>1393</v>
      </c>
      <c r="F227" s="4" t="s">
        <v>3</v>
      </c>
      <c r="G227" s="4" t="s">
        <v>4</v>
      </c>
      <c r="H227" s="4" t="s">
        <v>119</v>
      </c>
      <c r="I227" s="5">
        <v>43616</v>
      </c>
      <c r="J227" s="6">
        <v>0.69125</v>
      </c>
      <c r="K227" s="5">
        <v>43620</v>
      </c>
      <c r="L227" s="4" t="s">
        <v>6</v>
      </c>
      <c r="M227" s="4"/>
      <c r="N227" s="4" t="s">
        <v>1394</v>
      </c>
      <c r="O227" s="4" t="s">
        <v>1395</v>
      </c>
      <c r="P227" s="4" t="s">
        <v>1396</v>
      </c>
      <c r="Q227" s="4" t="s">
        <v>4</v>
      </c>
      <c r="R227" s="4" t="s">
        <v>4</v>
      </c>
      <c r="S227" s="4" t="s">
        <v>10</v>
      </c>
      <c r="T227" s="4"/>
      <c r="U227" s="4"/>
      <c r="V227" s="4"/>
      <c r="W227" s="4" t="s">
        <v>27</v>
      </c>
      <c r="X227" s="4" t="s">
        <v>980</v>
      </c>
      <c r="Y227" s="4" t="s">
        <v>980</v>
      </c>
      <c r="Z227" s="4" t="s">
        <v>1397</v>
      </c>
      <c r="AA227" s="4" t="s">
        <v>1398</v>
      </c>
      <c r="AB227" s="4" t="s">
        <v>1399</v>
      </c>
      <c r="AC227" s="4" t="s">
        <v>1400</v>
      </c>
      <c r="AD227" s="4" t="s">
        <v>17</v>
      </c>
      <c r="AE227" s="4" t="s">
        <v>18</v>
      </c>
      <c r="AF227" s="4" t="s">
        <v>19</v>
      </c>
      <c r="AG227" s="4" t="s">
        <v>19</v>
      </c>
      <c r="AH227" s="4" t="s">
        <v>1399</v>
      </c>
    </row>
    <row r="228" spans="2:34" ht="15">
      <c r="B228" s="1" t="s">
        <v>0</v>
      </c>
      <c r="C228" s="2">
        <v>43621</v>
      </c>
      <c r="D228" s="1" t="s">
        <v>1</v>
      </c>
      <c r="E228" s="1" t="s">
        <v>1401</v>
      </c>
      <c r="F228" s="1" t="s">
        <v>3</v>
      </c>
      <c r="G228" s="1" t="s">
        <v>4</v>
      </c>
      <c r="H228" s="1" t="s">
        <v>119</v>
      </c>
      <c r="I228" s="2">
        <v>43620</v>
      </c>
      <c r="J228" s="3">
        <v>0.6095023148148148</v>
      </c>
      <c r="K228" s="2">
        <v>43622</v>
      </c>
      <c r="L228" s="1" t="s">
        <v>6</v>
      </c>
      <c r="M228" s="1"/>
      <c r="N228" s="1" t="s">
        <v>1394</v>
      </c>
      <c r="O228" s="1" t="s">
        <v>1395</v>
      </c>
      <c r="P228" s="1" t="s">
        <v>1396</v>
      </c>
      <c r="Q228" s="1" t="s">
        <v>4</v>
      </c>
      <c r="R228" s="1" t="s">
        <v>4</v>
      </c>
      <c r="S228" s="1" t="s">
        <v>10</v>
      </c>
      <c r="T228" s="1"/>
      <c r="U228" s="1"/>
      <c r="V228" s="1"/>
      <c r="W228" s="1" t="s">
        <v>27</v>
      </c>
      <c r="X228" s="1" t="s">
        <v>1227</v>
      </c>
      <c r="Y228" s="1" t="s">
        <v>1227</v>
      </c>
      <c r="Z228" s="1" t="s">
        <v>1402</v>
      </c>
      <c r="AA228" s="1" t="s">
        <v>1403</v>
      </c>
      <c r="AB228" s="1" t="s">
        <v>1404</v>
      </c>
      <c r="AC228" s="1" t="s">
        <v>1405</v>
      </c>
      <c r="AD228" s="1" t="s">
        <v>17</v>
      </c>
      <c r="AE228" s="1" t="s">
        <v>18</v>
      </c>
      <c r="AF228" s="1" t="s">
        <v>19</v>
      </c>
      <c r="AG228" s="1" t="s">
        <v>19</v>
      </c>
      <c r="AH228" s="1" t="s">
        <v>1404</v>
      </c>
    </row>
    <row r="229" spans="2:34" ht="15">
      <c r="B229" s="4" t="s">
        <v>20</v>
      </c>
      <c r="C229" s="5">
        <v>43623</v>
      </c>
      <c r="D229" s="4" t="s">
        <v>21</v>
      </c>
      <c r="E229" s="4" t="s">
        <v>1406</v>
      </c>
      <c r="F229" s="4" t="s">
        <v>3</v>
      </c>
      <c r="G229" s="4" t="s">
        <v>4</v>
      </c>
      <c r="H229" s="4" t="s">
        <v>1277</v>
      </c>
      <c r="I229" s="5">
        <v>43622</v>
      </c>
      <c r="J229" s="6">
        <v>0.6868055555555556</v>
      </c>
      <c r="K229" s="5">
        <v>43626</v>
      </c>
      <c r="L229" s="4" t="s">
        <v>6</v>
      </c>
      <c r="M229" s="4"/>
      <c r="N229" s="4" t="s">
        <v>1407</v>
      </c>
      <c r="O229" s="4" t="s">
        <v>1408</v>
      </c>
      <c r="P229" s="4" t="s">
        <v>1409</v>
      </c>
      <c r="Q229" s="4" t="s">
        <v>4</v>
      </c>
      <c r="R229" s="4" t="s">
        <v>4</v>
      </c>
      <c r="S229" s="4" t="s">
        <v>10</v>
      </c>
      <c r="T229" s="4"/>
      <c r="U229" s="4"/>
      <c r="V229" s="4"/>
      <c r="W229" s="4" t="s">
        <v>27</v>
      </c>
      <c r="X229" s="4" t="s">
        <v>1410</v>
      </c>
      <c r="Y229" s="4" t="s">
        <v>1410</v>
      </c>
      <c r="Z229" s="4" t="s">
        <v>1411</v>
      </c>
      <c r="AA229" s="4" t="s">
        <v>1412</v>
      </c>
      <c r="AB229" s="4" t="s">
        <v>1413</v>
      </c>
      <c r="AC229" s="4" t="s">
        <v>1414</v>
      </c>
      <c r="AD229" s="4" t="s">
        <v>17</v>
      </c>
      <c r="AE229" s="4" t="s">
        <v>18</v>
      </c>
      <c r="AF229" s="4" t="s">
        <v>19</v>
      </c>
      <c r="AG229" s="4" t="s">
        <v>19</v>
      </c>
      <c r="AH229" s="4" t="s">
        <v>1413</v>
      </c>
    </row>
    <row r="230" spans="2:34" ht="15">
      <c r="B230" s="1" t="s">
        <v>20</v>
      </c>
      <c r="C230" s="2">
        <v>43623</v>
      </c>
      <c r="D230" s="1" t="s">
        <v>21</v>
      </c>
      <c r="E230" s="1" t="s">
        <v>1415</v>
      </c>
      <c r="F230" s="1" t="s">
        <v>3</v>
      </c>
      <c r="G230" s="1" t="s">
        <v>4</v>
      </c>
      <c r="H230" s="1" t="s">
        <v>914</v>
      </c>
      <c r="I230" s="2">
        <v>43622</v>
      </c>
      <c r="J230" s="3">
        <v>0.7314699074074074</v>
      </c>
      <c r="K230" s="2">
        <v>43626</v>
      </c>
      <c r="L230" s="1" t="s">
        <v>6</v>
      </c>
      <c r="M230" s="1"/>
      <c r="N230" s="1" t="s">
        <v>975</v>
      </c>
      <c r="O230" s="1" t="s">
        <v>915</v>
      </c>
      <c r="P230" s="1" t="s">
        <v>916</v>
      </c>
      <c r="Q230" s="1" t="s">
        <v>4</v>
      </c>
      <c r="R230" s="1" t="s">
        <v>4</v>
      </c>
      <c r="S230" s="1" t="s">
        <v>10</v>
      </c>
      <c r="T230" s="1"/>
      <c r="U230" s="1"/>
      <c r="V230" s="1"/>
      <c r="W230" s="1" t="s">
        <v>11</v>
      </c>
      <c r="X230" s="1" t="s">
        <v>917</v>
      </c>
      <c r="Y230" s="1" t="s">
        <v>917</v>
      </c>
      <c r="Z230" s="1" t="s">
        <v>1416</v>
      </c>
      <c r="AA230" s="1" t="s">
        <v>1417</v>
      </c>
      <c r="AB230" s="1" t="s">
        <v>1418</v>
      </c>
      <c r="AC230" s="1" t="s">
        <v>1419</v>
      </c>
      <c r="AD230" s="1" t="s">
        <v>17</v>
      </c>
      <c r="AE230" s="1" t="s">
        <v>18</v>
      </c>
      <c r="AF230" s="1" t="s">
        <v>19</v>
      </c>
      <c r="AG230" s="1" t="s">
        <v>19</v>
      </c>
      <c r="AH230" s="1" t="s">
        <v>1418</v>
      </c>
    </row>
    <row r="231" spans="2:34" ht="15">
      <c r="B231" s="4" t="s">
        <v>0</v>
      </c>
      <c r="C231" s="5">
        <v>43623</v>
      </c>
      <c r="D231" s="4" t="s">
        <v>1</v>
      </c>
      <c r="E231" s="4" t="s">
        <v>1420</v>
      </c>
      <c r="F231" s="4" t="s">
        <v>3</v>
      </c>
      <c r="G231" s="4" t="s">
        <v>4</v>
      </c>
      <c r="H231" s="4" t="s">
        <v>1277</v>
      </c>
      <c r="I231" s="5">
        <v>43622</v>
      </c>
      <c r="J231" s="6">
        <v>0.6868055555555556</v>
      </c>
      <c r="K231" s="5">
        <v>43626</v>
      </c>
      <c r="L231" s="4" t="s">
        <v>6</v>
      </c>
      <c r="M231" s="4"/>
      <c r="N231" s="4" t="s">
        <v>1407</v>
      </c>
      <c r="O231" s="4" t="s">
        <v>1408</v>
      </c>
      <c r="P231" s="4" t="s">
        <v>1409</v>
      </c>
      <c r="Q231" s="4" t="s">
        <v>4</v>
      </c>
      <c r="R231" s="4" t="s">
        <v>4</v>
      </c>
      <c r="S231" s="4" t="s">
        <v>10</v>
      </c>
      <c r="T231" s="4"/>
      <c r="U231" s="4"/>
      <c r="V231" s="4"/>
      <c r="W231" s="4" t="s">
        <v>27</v>
      </c>
      <c r="X231" s="4" t="s">
        <v>1421</v>
      </c>
      <c r="Y231" s="4" t="s">
        <v>1421</v>
      </c>
      <c r="Z231" s="4" t="s">
        <v>1411</v>
      </c>
      <c r="AA231" s="4" t="s">
        <v>1422</v>
      </c>
      <c r="AB231" s="4" t="s">
        <v>1423</v>
      </c>
      <c r="AC231" s="4" t="s">
        <v>1424</v>
      </c>
      <c r="AD231" s="4" t="s">
        <v>17</v>
      </c>
      <c r="AE231" s="4" t="s">
        <v>18</v>
      </c>
      <c r="AF231" s="4" t="s">
        <v>19</v>
      </c>
      <c r="AG231" s="4" t="s">
        <v>19</v>
      </c>
      <c r="AH231" s="4" t="s">
        <v>1423</v>
      </c>
    </row>
    <row r="232" spans="2:34" ht="15">
      <c r="B232" s="1" t="s">
        <v>20</v>
      </c>
      <c r="C232" s="2">
        <v>43627</v>
      </c>
      <c r="D232" s="1" t="s">
        <v>21</v>
      </c>
      <c r="E232" s="1" t="s">
        <v>1425</v>
      </c>
      <c r="F232" s="1" t="s">
        <v>3</v>
      </c>
      <c r="G232" s="1" t="s">
        <v>4</v>
      </c>
      <c r="H232" s="1" t="s">
        <v>325</v>
      </c>
      <c r="I232" s="2">
        <v>43626</v>
      </c>
      <c r="J232" s="3">
        <v>0.5583333333333333</v>
      </c>
      <c r="K232" s="2">
        <v>43628</v>
      </c>
      <c r="L232" s="1" t="s">
        <v>6</v>
      </c>
      <c r="M232" s="1"/>
      <c r="N232" s="1" t="s">
        <v>1426</v>
      </c>
      <c r="O232" s="1" t="s">
        <v>1427</v>
      </c>
      <c r="P232" s="1" t="s">
        <v>1428</v>
      </c>
      <c r="Q232" s="1" t="s">
        <v>4</v>
      </c>
      <c r="R232" s="1" t="s">
        <v>4</v>
      </c>
      <c r="S232" s="1" t="s">
        <v>10</v>
      </c>
      <c r="T232" s="1"/>
      <c r="U232" s="1"/>
      <c r="V232" s="1"/>
      <c r="W232" s="1" t="s">
        <v>11</v>
      </c>
      <c r="X232" s="1" t="s">
        <v>1429</v>
      </c>
      <c r="Y232" s="1" t="s">
        <v>1429</v>
      </c>
      <c r="Z232" s="1" t="s">
        <v>512</v>
      </c>
      <c r="AA232" s="1" t="s">
        <v>1430</v>
      </c>
      <c r="AB232" s="1" t="s">
        <v>1431</v>
      </c>
      <c r="AC232" s="1" t="s">
        <v>1432</v>
      </c>
      <c r="AD232" s="1" t="s">
        <v>17</v>
      </c>
      <c r="AE232" s="1" t="s">
        <v>18</v>
      </c>
      <c r="AF232" s="1" t="s">
        <v>19</v>
      </c>
      <c r="AG232" s="1" t="s">
        <v>19</v>
      </c>
      <c r="AH232" s="1" t="s">
        <v>1431</v>
      </c>
    </row>
    <row r="233" spans="2:34" ht="15">
      <c r="B233" s="4" t="s">
        <v>153</v>
      </c>
      <c r="C233" s="5">
        <v>43627</v>
      </c>
      <c r="D233" s="4" t="s">
        <v>154</v>
      </c>
      <c r="E233" s="4"/>
      <c r="F233" s="4" t="s">
        <v>3</v>
      </c>
      <c r="G233" s="4" t="s">
        <v>4</v>
      </c>
      <c r="H233" s="4" t="s">
        <v>119</v>
      </c>
      <c r="I233" s="5">
        <v>43626</v>
      </c>
      <c r="J233" s="6">
        <v>0.6152430555555556</v>
      </c>
      <c r="K233" s="5">
        <v>43630</v>
      </c>
      <c r="L233" s="4" t="s">
        <v>6</v>
      </c>
      <c r="M233" s="4"/>
      <c r="N233" s="4" t="s">
        <v>156</v>
      </c>
      <c r="O233" s="4" t="s">
        <v>157</v>
      </c>
      <c r="P233" s="4" t="s">
        <v>158</v>
      </c>
      <c r="Q233" s="4" t="s">
        <v>4</v>
      </c>
      <c r="R233" s="4" t="s">
        <v>4</v>
      </c>
      <c r="S233" s="4" t="s">
        <v>10</v>
      </c>
      <c r="T233" s="4"/>
      <c r="U233" s="4"/>
      <c r="V233" s="4"/>
      <c r="W233" s="4" t="s">
        <v>27</v>
      </c>
      <c r="X233" s="4" t="s">
        <v>1433</v>
      </c>
      <c r="Y233" s="4" t="s">
        <v>1433</v>
      </c>
      <c r="Z233" s="4" t="s">
        <v>1434</v>
      </c>
      <c r="AA233" s="4" t="s">
        <v>1435</v>
      </c>
      <c r="AB233" s="4" t="s">
        <v>1436</v>
      </c>
      <c r="AC233" s="4" t="s">
        <v>1437</v>
      </c>
      <c r="AD233" s="4" t="s">
        <v>17</v>
      </c>
      <c r="AE233" s="4" t="s">
        <v>18</v>
      </c>
      <c r="AF233" s="4" t="s">
        <v>19</v>
      </c>
      <c r="AG233" s="4" t="s">
        <v>19</v>
      </c>
      <c r="AH233" s="4" t="s">
        <v>1436</v>
      </c>
    </row>
    <row r="234" spans="2:34" ht="15">
      <c r="B234" s="1" t="s">
        <v>153</v>
      </c>
      <c r="C234" s="2">
        <v>43627</v>
      </c>
      <c r="D234" s="1" t="s">
        <v>154</v>
      </c>
      <c r="E234" s="1"/>
      <c r="F234" s="1" t="s">
        <v>3</v>
      </c>
      <c r="G234" s="1" t="s">
        <v>4</v>
      </c>
      <c r="H234" s="1" t="s">
        <v>109</v>
      </c>
      <c r="I234" s="2">
        <v>43626</v>
      </c>
      <c r="J234" s="3">
        <v>0.4965277777777778</v>
      </c>
      <c r="K234" s="2">
        <v>43630</v>
      </c>
      <c r="L234" s="1" t="s">
        <v>6</v>
      </c>
      <c r="M234" s="1"/>
      <c r="N234" s="1" t="s">
        <v>232</v>
      </c>
      <c r="O234" s="1" t="s">
        <v>233</v>
      </c>
      <c r="P234" s="1" t="s">
        <v>234</v>
      </c>
      <c r="Q234" s="1" t="s">
        <v>4</v>
      </c>
      <c r="R234" s="1" t="s">
        <v>4</v>
      </c>
      <c r="S234" s="1" t="s">
        <v>10</v>
      </c>
      <c r="T234" s="1"/>
      <c r="U234" s="1"/>
      <c r="V234" s="1"/>
      <c r="W234" s="1" t="s">
        <v>27</v>
      </c>
      <c r="X234" s="1" t="s">
        <v>1438</v>
      </c>
      <c r="Y234" s="1" t="s">
        <v>1438</v>
      </c>
      <c r="Z234" s="1" t="s">
        <v>1439</v>
      </c>
      <c r="AA234" s="1" t="s">
        <v>1440</v>
      </c>
      <c r="AB234" s="1" t="s">
        <v>1441</v>
      </c>
      <c r="AC234" s="1" t="s">
        <v>1442</v>
      </c>
      <c r="AD234" s="1" t="s">
        <v>17</v>
      </c>
      <c r="AE234" s="1" t="s">
        <v>18</v>
      </c>
      <c r="AF234" s="1" t="s">
        <v>19</v>
      </c>
      <c r="AG234" s="1" t="s">
        <v>19</v>
      </c>
      <c r="AH234" s="1" t="s">
        <v>1441</v>
      </c>
    </row>
    <row r="235" spans="2:34" ht="15">
      <c r="B235" s="4" t="s">
        <v>153</v>
      </c>
      <c r="C235" s="5">
        <v>43627</v>
      </c>
      <c r="D235" s="4" t="s">
        <v>154</v>
      </c>
      <c r="E235" s="4"/>
      <c r="F235" s="4" t="s">
        <v>3</v>
      </c>
      <c r="G235" s="4" t="s">
        <v>4</v>
      </c>
      <c r="H235" s="4" t="s">
        <v>23</v>
      </c>
      <c r="I235" s="5">
        <v>43626</v>
      </c>
      <c r="J235" s="6">
        <v>0.6589467592592593</v>
      </c>
      <c r="K235" s="5">
        <v>43630</v>
      </c>
      <c r="L235" s="4" t="s">
        <v>6</v>
      </c>
      <c r="M235" s="4"/>
      <c r="N235" s="4" t="s">
        <v>174</v>
      </c>
      <c r="O235" s="4" t="s">
        <v>175</v>
      </c>
      <c r="P235" s="4" t="s">
        <v>176</v>
      </c>
      <c r="Q235" s="4" t="s">
        <v>4</v>
      </c>
      <c r="R235" s="4" t="s">
        <v>4</v>
      </c>
      <c r="S235" s="4" t="s">
        <v>10</v>
      </c>
      <c r="T235" s="4"/>
      <c r="U235" s="4"/>
      <c r="V235" s="4"/>
      <c r="W235" s="4" t="s">
        <v>27</v>
      </c>
      <c r="X235" s="4" t="s">
        <v>1443</v>
      </c>
      <c r="Y235" s="4" t="s">
        <v>1443</v>
      </c>
      <c r="Z235" s="4" t="s">
        <v>1444</v>
      </c>
      <c r="AA235" s="4" t="s">
        <v>1445</v>
      </c>
      <c r="AB235" s="4" t="s">
        <v>1446</v>
      </c>
      <c r="AC235" s="4" t="s">
        <v>1447</v>
      </c>
      <c r="AD235" s="4" t="s">
        <v>17</v>
      </c>
      <c r="AE235" s="4" t="s">
        <v>18</v>
      </c>
      <c r="AF235" s="4" t="s">
        <v>19</v>
      </c>
      <c r="AG235" s="4" t="s">
        <v>19</v>
      </c>
      <c r="AH235" s="4" t="s">
        <v>1446</v>
      </c>
    </row>
    <row r="236" spans="2:34" ht="15">
      <c r="B236" s="1" t="s">
        <v>153</v>
      </c>
      <c r="C236" s="2">
        <v>43627</v>
      </c>
      <c r="D236" s="1" t="s">
        <v>154</v>
      </c>
      <c r="E236" s="1"/>
      <c r="F236" s="1" t="s">
        <v>3</v>
      </c>
      <c r="G236" s="1" t="s">
        <v>4</v>
      </c>
      <c r="H236" s="1" t="s">
        <v>23</v>
      </c>
      <c r="I236" s="2">
        <v>43626</v>
      </c>
      <c r="J236" s="3">
        <v>0.4608333333333333</v>
      </c>
      <c r="K236" s="2">
        <v>43630</v>
      </c>
      <c r="L236" s="1" t="s">
        <v>6</v>
      </c>
      <c r="M236" s="1"/>
      <c r="N236" s="1" t="s">
        <v>165</v>
      </c>
      <c r="O236" s="1" t="s">
        <v>166</v>
      </c>
      <c r="P236" s="1" t="s">
        <v>167</v>
      </c>
      <c r="Q236" s="1" t="s">
        <v>4</v>
      </c>
      <c r="R236" s="1" t="s">
        <v>4</v>
      </c>
      <c r="S236" s="1" t="s">
        <v>10</v>
      </c>
      <c r="T236" s="1"/>
      <c r="U236" s="1"/>
      <c r="V236" s="1"/>
      <c r="W236" s="1" t="s">
        <v>27</v>
      </c>
      <c r="X236" s="1" t="s">
        <v>1448</v>
      </c>
      <c r="Y236" s="1" t="s">
        <v>1448</v>
      </c>
      <c r="Z236" s="1" t="s">
        <v>1449</v>
      </c>
      <c r="AA236" s="1" t="s">
        <v>1450</v>
      </c>
      <c r="AB236" s="1" t="s">
        <v>1451</v>
      </c>
      <c r="AC236" s="1" t="s">
        <v>1452</v>
      </c>
      <c r="AD236" s="1" t="s">
        <v>17</v>
      </c>
      <c r="AE236" s="1" t="s">
        <v>18</v>
      </c>
      <c r="AF236" s="1" t="s">
        <v>19</v>
      </c>
      <c r="AG236" s="1" t="s">
        <v>19</v>
      </c>
      <c r="AH236" s="1" t="s">
        <v>1451</v>
      </c>
    </row>
    <row r="237" spans="2:34" ht="15">
      <c r="B237" s="4" t="s">
        <v>153</v>
      </c>
      <c r="C237" s="5">
        <v>43627</v>
      </c>
      <c r="D237" s="4" t="s">
        <v>154</v>
      </c>
      <c r="E237" s="4"/>
      <c r="F237" s="4" t="s">
        <v>3</v>
      </c>
      <c r="G237" s="4" t="s">
        <v>4</v>
      </c>
      <c r="H237" s="4" t="s">
        <v>183</v>
      </c>
      <c r="I237" s="5">
        <v>43626</v>
      </c>
      <c r="J237" s="6">
        <v>0.5028356481481482</v>
      </c>
      <c r="K237" s="5">
        <v>43630</v>
      </c>
      <c r="L237" s="4" t="s">
        <v>6</v>
      </c>
      <c r="M237" s="4"/>
      <c r="N237" s="4" t="s">
        <v>260</v>
      </c>
      <c r="O237" s="4" t="s">
        <v>261</v>
      </c>
      <c r="P237" s="4" t="s">
        <v>262</v>
      </c>
      <c r="Q237" s="4" t="s">
        <v>4</v>
      </c>
      <c r="R237" s="4" t="s">
        <v>4</v>
      </c>
      <c r="S237" s="4" t="s">
        <v>10</v>
      </c>
      <c r="T237" s="4"/>
      <c r="U237" s="4"/>
      <c r="V237" s="4"/>
      <c r="W237" s="4" t="s">
        <v>27</v>
      </c>
      <c r="X237" s="4" t="s">
        <v>1453</v>
      </c>
      <c r="Y237" s="4" t="s">
        <v>1453</v>
      </c>
      <c r="Z237" s="4" t="s">
        <v>1454</v>
      </c>
      <c r="AA237" s="4" t="s">
        <v>1455</v>
      </c>
      <c r="AB237" s="4" t="s">
        <v>1456</v>
      </c>
      <c r="AC237" s="4" t="s">
        <v>1457</v>
      </c>
      <c r="AD237" s="4" t="s">
        <v>17</v>
      </c>
      <c r="AE237" s="4" t="s">
        <v>18</v>
      </c>
      <c r="AF237" s="4" t="s">
        <v>19</v>
      </c>
      <c r="AG237" s="4" t="s">
        <v>19</v>
      </c>
      <c r="AH237" s="4" t="s">
        <v>1456</v>
      </c>
    </row>
    <row r="238" spans="2:34" ht="15">
      <c r="B238" s="1" t="s">
        <v>153</v>
      </c>
      <c r="C238" s="2">
        <v>43627</v>
      </c>
      <c r="D238" s="1" t="s">
        <v>154</v>
      </c>
      <c r="E238" s="1"/>
      <c r="F238" s="1" t="s">
        <v>3</v>
      </c>
      <c r="G238" s="1" t="s">
        <v>4</v>
      </c>
      <c r="H238" s="1" t="s">
        <v>23</v>
      </c>
      <c r="I238" s="2">
        <v>43626</v>
      </c>
      <c r="J238" s="3">
        <v>0.5746990740740741</v>
      </c>
      <c r="K238" s="2">
        <v>43630</v>
      </c>
      <c r="L238" s="1" t="s">
        <v>6</v>
      </c>
      <c r="M238" s="1"/>
      <c r="N238" s="1" t="s">
        <v>459</v>
      </c>
      <c r="O238" s="1" t="s">
        <v>460</v>
      </c>
      <c r="P238" s="1" t="s">
        <v>461</v>
      </c>
      <c r="Q238" s="1" t="s">
        <v>4</v>
      </c>
      <c r="R238" s="1" t="s">
        <v>4</v>
      </c>
      <c r="S238" s="1" t="s">
        <v>10</v>
      </c>
      <c r="T238" s="1"/>
      <c r="U238" s="1"/>
      <c r="V238" s="1"/>
      <c r="W238" s="1" t="s">
        <v>27</v>
      </c>
      <c r="X238" s="1" t="s">
        <v>1458</v>
      </c>
      <c r="Y238" s="1" t="s">
        <v>1458</v>
      </c>
      <c r="Z238" s="1" t="s">
        <v>1459</v>
      </c>
      <c r="AA238" s="1" t="s">
        <v>1460</v>
      </c>
      <c r="AB238" s="1" t="s">
        <v>1461</v>
      </c>
      <c r="AC238" s="1" t="s">
        <v>1462</v>
      </c>
      <c r="AD238" s="1" t="s">
        <v>17</v>
      </c>
      <c r="AE238" s="1" t="s">
        <v>18</v>
      </c>
      <c r="AF238" s="1" t="s">
        <v>19</v>
      </c>
      <c r="AG238" s="1" t="s">
        <v>19</v>
      </c>
      <c r="AH238" s="1" t="s">
        <v>1461</v>
      </c>
    </row>
    <row r="239" spans="2:34" ht="15">
      <c r="B239" s="4" t="s">
        <v>153</v>
      </c>
      <c r="C239" s="5">
        <v>43627</v>
      </c>
      <c r="D239" s="4" t="s">
        <v>154</v>
      </c>
      <c r="E239" s="4"/>
      <c r="F239" s="4" t="s">
        <v>3</v>
      </c>
      <c r="G239" s="4" t="s">
        <v>4</v>
      </c>
      <c r="H239" s="4" t="s">
        <v>1277</v>
      </c>
      <c r="I239" s="5">
        <v>43626</v>
      </c>
      <c r="J239" s="6">
        <v>0.5513888888888889</v>
      </c>
      <c r="K239" s="5">
        <v>43630</v>
      </c>
      <c r="L239" s="4" t="s">
        <v>6</v>
      </c>
      <c r="M239" s="4"/>
      <c r="N239" s="4" t="s">
        <v>418</v>
      </c>
      <c r="O239" s="4" t="s">
        <v>419</v>
      </c>
      <c r="P239" s="4" t="s">
        <v>420</v>
      </c>
      <c r="Q239" s="4" t="s">
        <v>4</v>
      </c>
      <c r="R239" s="4" t="s">
        <v>4</v>
      </c>
      <c r="S239" s="4" t="s">
        <v>10</v>
      </c>
      <c r="T239" s="4"/>
      <c r="U239" s="4"/>
      <c r="V239" s="4"/>
      <c r="W239" s="4" t="s">
        <v>27</v>
      </c>
      <c r="X239" s="4" t="s">
        <v>1463</v>
      </c>
      <c r="Y239" s="4" t="s">
        <v>1463</v>
      </c>
      <c r="Z239" s="4" t="s">
        <v>1464</v>
      </c>
      <c r="AA239" s="4" t="s">
        <v>1465</v>
      </c>
      <c r="AB239" s="4" t="s">
        <v>1466</v>
      </c>
      <c r="AC239" s="4" t="s">
        <v>1467</v>
      </c>
      <c r="AD239" s="4" t="s">
        <v>17</v>
      </c>
      <c r="AE239" s="4" t="s">
        <v>18</v>
      </c>
      <c r="AF239" s="4" t="s">
        <v>19</v>
      </c>
      <c r="AG239" s="4" t="s">
        <v>19</v>
      </c>
      <c r="AH239" s="4" t="s">
        <v>1466</v>
      </c>
    </row>
    <row r="240" spans="2:34" ht="15">
      <c r="B240" s="1" t="s">
        <v>153</v>
      </c>
      <c r="C240" s="2">
        <v>43627</v>
      </c>
      <c r="D240" s="1" t="s">
        <v>154</v>
      </c>
      <c r="E240" s="1"/>
      <c r="F240" s="1" t="s">
        <v>3</v>
      </c>
      <c r="G240" s="1" t="s">
        <v>4</v>
      </c>
      <c r="H240" s="1" t="s">
        <v>325</v>
      </c>
      <c r="I240" s="2">
        <v>43626</v>
      </c>
      <c r="J240" s="3">
        <v>0.48125</v>
      </c>
      <c r="K240" s="2">
        <v>43630</v>
      </c>
      <c r="L240" s="1" t="s">
        <v>6</v>
      </c>
      <c r="M240" s="1"/>
      <c r="N240" s="1" t="s">
        <v>1082</v>
      </c>
      <c r="O240" s="1" t="s">
        <v>1065</v>
      </c>
      <c r="P240" s="1" t="s">
        <v>1066</v>
      </c>
      <c r="Q240" s="1" t="s">
        <v>4</v>
      </c>
      <c r="R240" s="1" t="s">
        <v>4</v>
      </c>
      <c r="S240" s="1" t="s">
        <v>10</v>
      </c>
      <c r="T240" s="1"/>
      <c r="U240" s="1"/>
      <c r="V240" s="1"/>
      <c r="W240" s="1" t="s">
        <v>27</v>
      </c>
      <c r="X240" s="1" t="s">
        <v>1468</v>
      </c>
      <c r="Y240" s="1" t="s">
        <v>1468</v>
      </c>
      <c r="Z240" s="1" t="s">
        <v>1469</v>
      </c>
      <c r="AA240" s="1" t="s">
        <v>1470</v>
      </c>
      <c r="AB240" s="1" t="s">
        <v>1471</v>
      </c>
      <c r="AC240" s="1" t="s">
        <v>1472</v>
      </c>
      <c r="AD240" s="1" t="s">
        <v>17</v>
      </c>
      <c r="AE240" s="1" t="s">
        <v>18</v>
      </c>
      <c r="AF240" s="1" t="s">
        <v>19</v>
      </c>
      <c r="AG240" s="1" t="s">
        <v>19</v>
      </c>
      <c r="AH240" s="1" t="s">
        <v>1471</v>
      </c>
    </row>
    <row r="241" spans="2:34" ht="15">
      <c r="B241" s="4" t="s">
        <v>153</v>
      </c>
      <c r="C241" s="5">
        <v>43627</v>
      </c>
      <c r="D241" s="4" t="s">
        <v>154</v>
      </c>
      <c r="E241" s="4"/>
      <c r="F241" s="4" t="s">
        <v>3</v>
      </c>
      <c r="G241" s="4" t="s">
        <v>4</v>
      </c>
      <c r="H241" s="4" t="s">
        <v>119</v>
      </c>
      <c r="I241" s="5">
        <v>43626</v>
      </c>
      <c r="J241" s="6">
        <v>0.6912615740740741</v>
      </c>
      <c r="K241" s="5">
        <v>43630</v>
      </c>
      <c r="L241" s="4" t="s">
        <v>6</v>
      </c>
      <c r="M241" s="4"/>
      <c r="N241" s="4" t="s">
        <v>467</v>
      </c>
      <c r="O241" s="4" t="s">
        <v>468</v>
      </c>
      <c r="P241" s="4" t="s">
        <v>469</v>
      </c>
      <c r="Q241" s="4" t="s">
        <v>4</v>
      </c>
      <c r="R241" s="4" t="s">
        <v>4</v>
      </c>
      <c r="S241" s="4" t="s">
        <v>10</v>
      </c>
      <c r="T241" s="4"/>
      <c r="U241" s="4"/>
      <c r="V241" s="4"/>
      <c r="W241" s="4" t="s">
        <v>27</v>
      </c>
      <c r="X241" s="4" t="s">
        <v>1473</v>
      </c>
      <c r="Y241" s="4" t="s">
        <v>1473</v>
      </c>
      <c r="Z241" s="4" t="s">
        <v>1474</v>
      </c>
      <c r="AA241" s="4" t="s">
        <v>1475</v>
      </c>
      <c r="AB241" s="4" t="s">
        <v>1476</v>
      </c>
      <c r="AC241" s="4" t="s">
        <v>1477</v>
      </c>
      <c r="AD241" s="4" t="s">
        <v>17</v>
      </c>
      <c r="AE241" s="4" t="s">
        <v>18</v>
      </c>
      <c r="AF241" s="4" t="s">
        <v>19</v>
      </c>
      <c r="AG241" s="4" t="s">
        <v>19</v>
      </c>
      <c r="AH241" s="4" t="s">
        <v>1476</v>
      </c>
    </row>
    <row r="242" spans="2:34" ht="15">
      <c r="B242" s="1" t="s">
        <v>153</v>
      </c>
      <c r="C242" s="2">
        <v>43627</v>
      </c>
      <c r="D242" s="1" t="s">
        <v>154</v>
      </c>
      <c r="E242" s="1"/>
      <c r="F242" s="1" t="s">
        <v>3</v>
      </c>
      <c r="G242" s="1" t="s">
        <v>4</v>
      </c>
      <c r="H242" s="1" t="s">
        <v>1277</v>
      </c>
      <c r="I242" s="2">
        <v>43626</v>
      </c>
      <c r="J242" s="3">
        <v>0.5763888888888888</v>
      </c>
      <c r="K242" s="2">
        <v>43630</v>
      </c>
      <c r="L242" s="1" t="s">
        <v>6</v>
      </c>
      <c r="M242" s="1"/>
      <c r="N242" s="1" t="s">
        <v>127</v>
      </c>
      <c r="O242" s="1" t="s">
        <v>128</v>
      </c>
      <c r="P242" s="1" t="s">
        <v>129</v>
      </c>
      <c r="Q242" s="1" t="s">
        <v>4</v>
      </c>
      <c r="R242" s="1" t="s">
        <v>4</v>
      </c>
      <c r="S242" s="1" t="s">
        <v>10</v>
      </c>
      <c r="T242" s="1"/>
      <c r="U242" s="1"/>
      <c r="V242" s="1"/>
      <c r="W242" s="1" t="s">
        <v>27</v>
      </c>
      <c r="X242" s="1" t="s">
        <v>197</v>
      </c>
      <c r="Y242" s="1" t="s">
        <v>197</v>
      </c>
      <c r="Z242" s="1" t="s">
        <v>1478</v>
      </c>
      <c r="AA242" s="1" t="s">
        <v>1479</v>
      </c>
      <c r="AB242" s="1" t="s">
        <v>1480</v>
      </c>
      <c r="AC242" s="1" t="s">
        <v>1481</v>
      </c>
      <c r="AD242" s="1" t="s">
        <v>17</v>
      </c>
      <c r="AE242" s="1" t="s">
        <v>18</v>
      </c>
      <c r="AF242" s="1" t="s">
        <v>19</v>
      </c>
      <c r="AG242" s="1" t="s">
        <v>19</v>
      </c>
      <c r="AH242" s="1" t="s">
        <v>1480</v>
      </c>
    </row>
    <row r="243" spans="2:34" ht="15">
      <c r="B243" s="4" t="s">
        <v>153</v>
      </c>
      <c r="C243" s="5">
        <v>43627</v>
      </c>
      <c r="D243" s="4" t="s">
        <v>154</v>
      </c>
      <c r="E243" s="4"/>
      <c r="F243" s="4" t="s">
        <v>3</v>
      </c>
      <c r="G243" s="4" t="s">
        <v>4</v>
      </c>
      <c r="H243" s="4" t="s">
        <v>119</v>
      </c>
      <c r="I243" s="5">
        <v>43626</v>
      </c>
      <c r="J243" s="6">
        <v>0.6873032407407408</v>
      </c>
      <c r="K243" s="5">
        <v>43630</v>
      </c>
      <c r="L243" s="4" t="s">
        <v>6</v>
      </c>
      <c r="M243" s="4"/>
      <c r="N243" s="4" t="s">
        <v>450</v>
      </c>
      <c r="O243" s="4" t="s">
        <v>451</v>
      </c>
      <c r="P243" s="4" t="s">
        <v>452</v>
      </c>
      <c r="Q243" s="4" t="s">
        <v>4</v>
      </c>
      <c r="R243" s="4" t="s">
        <v>4</v>
      </c>
      <c r="S243" s="4" t="s">
        <v>10</v>
      </c>
      <c r="T243" s="4"/>
      <c r="U243" s="4"/>
      <c r="V243" s="4"/>
      <c r="W243" s="4" t="s">
        <v>27</v>
      </c>
      <c r="X243" s="4" t="s">
        <v>1482</v>
      </c>
      <c r="Y243" s="4" t="s">
        <v>1482</v>
      </c>
      <c r="Z243" s="4" t="s">
        <v>1483</v>
      </c>
      <c r="AA243" s="4" t="s">
        <v>1484</v>
      </c>
      <c r="AB243" s="4" t="s">
        <v>1485</v>
      </c>
      <c r="AC243" s="4" t="s">
        <v>1486</v>
      </c>
      <c r="AD243" s="4" t="s">
        <v>17</v>
      </c>
      <c r="AE243" s="4" t="s">
        <v>18</v>
      </c>
      <c r="AF243" s="4" t="s">
        <v>19</v>
      </c>
      <c r="AG243" s="4" t="s">
        <v>19</v>
      </c>
      <c r="AH243" s="4" t="s">
        <v>1485</v>
      </c>
    </row>
    <row r="244" spans="2:34" ht="15">
      <c r="B244" s="1" t="s">
        <v>153</v>
      </c>
      <c r="C244" s="2">
        <v>43627</v>
      </c>
      <c r="D244" s="1" t="s">
        <v>154</v>
      </c>
      <c r="E244" s="1"/>
      <c r="F244" s="1" t="s">
        <v>3</v>
      </c>
      <c r="G244" s="1" t="s">
        <v>4</v>
      </c>
      <c r="H244" s="1" t="s">
        <v>109</v>
      </c>
      <c r="I244" s="2">
        <v>43626</v>
      </c>
      <c r="J244" s="3">
        <v>0.4909722222222222</v>
      </c>
      <c r="K244" s="2">
        <v>43630</v>
      </c>
      <c r="L244" s="1" t="s">
        <v>6</v>
      </c>
      <c r="M244" s="1"/>
      <c r="N244" s="1" t="s">
        <v>241</v>
      </c>
      <c r="O244" s="1" t="s">
        <v>242</v>
      </c>
      <c r="P244" s="1" t="s">
        <v>243</v>
      </c>
      <c r="Q244" s="1" t="s">
        <v>4</v>
      </c>
      <c r="R244" s="1" t="s">
        <v>4</v>
      </c>
      <c r="S244" s="1" t="s">
        <v>10</v>
      </c>
      <c r="T244" s="1"/>
      <c r="U244" s="1"/>
      <c r="V244" s="1"/>
      <c r="W244" s="1" t="s">
        <v>27</v>
      </c>
      <c r="X244" s="1" t="s">
        <v>1487</v>
      </c>
      <c r="Y244" s="1" t="s">
        <v>1487</v>
      </c>
      <c r="Z244" s="1" t="s">
        <v>1488</v>
      </c>
      <c r="AA244" s="1" t="s">
        <v>1489</v>
      </c>
      <c r="AB244" s="1" t="s">
        <v>1490</v>
      </c>
      <c r="AC244" s="1" t="s">
        <v>1491</v>
      </c>
      <c r="AD244" s="1" t="s">
        <v>17</v>
      </c>
      <c r="AE244" s="1" t="s">
        <v>18</v>
      </c>
      <c r="AF244" s="1" t="s">
        <v>19</v>
      </c>
      <c r="AG244" s="1" t="s">
        <v>19</v>
      </c>
      <c r="AH244" s="1" t="s">
        <v>1490</v>
      </c>
    </row>
    <row r="245" spans="2:34" ht="15">
      <c r="B245" s="4" t="s">
        <v>153</v>
      </c>
      <c r="C245" s="5">
        <v>43627</v>
      </c>
      <c r="D245" s="4" t="s">
        <v>154</v>
      </c>
      <c r="E245" s="4"/>
      <c r="F245" s="4" t="s">
        <v>3</v>
      </c>
      <c r="G245" s="4" t="s">
        <v>4</v>
      </c>
      <c r="H245" s="4" t="s">
        <v>786</v>
      </c>
      <c r="I245" s="5">
        <v>43626</v>
      </c>
      <c r="J245" s="6">
        <v>0.45902777777777776</v>
      </c>
      <c r="K245" s="5">
        <v>43630</v>
      </c>
      <c r="L245" s="4" t="s">
        <v>6</v>
      </c>
      <c r="M245" s="4"/>
      <c r="N245" s="4" t="s">
        <v>269</v>
      </c>
      <c r="O245" s="4" t="s">
        <v>270</v>
      </c>
      <c r="P245" s="4" t="s">
        <v>271</v>
      </c>
      <c r="Q245" s="4" t="s">
        <v>4</v>
      </c>
      <c r="R245" s="4" t="s">
        <v>4</v>
      </c>
      <c r="S245" s="4" t="s">
        <v>10</v>
      </c>
      <c r="T245" s="4"/>
      <c r="U245" s="4"/>
      <c r="V245" s="4"/>
      <c r="W245" s="4" t="s">
        <v>27</v>
      </c>
      <c r="X245" s="4" t="s">
        <v>1492</v>
      </c>
      <c r="Y245" s="4" t="s">
        <v>1492</v>
      </c>
      <c r="Z245" s="4" t="s">
        <v>1493</v>
      </c>
      <c r="AA245" s="4" t="s">
        <v>1494</v>
      </c>
      <c r="AB245" s="4" t="s">
        <v>1495</v>
      </c>
      <c r="AC245" s="4" t="s">
        <v>1496</v>
      </c>
      <c r="AD245" s="4" t="s">
        <v>17</v>
      </c>
      <c r="AE245" s="4" t="s">
        <v>18</v>
      </c>
      <c r="AF245" s="4" t="s">
        <v>19</v>
      </c>
      <c r="AG245" s="4" t="s">
        <v>19</v>
      </c>
      <c r="AH245" s="4" t="s">
        <v>1495</v>
      </c>
    </row>
    <row r="246" spans="2:34" ht="15">
      <c r="B246" s="1" t="s">
        <v>153</v>
      </c>
      <c r="C246" s="2">
        <v>43627</v>
      </c>
      <c r="D246" s="1" t="s">
        <v>154</v>
      </c>
      <c r="E246" s="1"/>
      <c r="F246" s="1" t="s">
        <v>3</v>
      </c>
      <c r="G246" s="1" t="s">
        <v>4</v>
      </c>
      <c r="H246" s="1" t="s">
        <v>90</v>
      </c>
      <c r="I246" s="2">
        <v>43626</v>
      </c>
      <c r="J246" s="3">
        <v>0.6571412037037037</v>
      </c>
      <c r="K246" s="2">
        <v>43630</v>
      </c>
      <c r="L246" s="1" t="s">
        <v>6</v>
      </c>
      <c r="M246" s="1"/>
      <c r="N246" s="1" t="s">
        <v>307</v>
      </c>
      <c r="O246" s="1" t="s">
        <v>308</v>
      </c>
      <c r="P246" s="1" t="s">
        <v>309</v>
      </c>
      <c r="Q246" s="1" t="s">
        <v>4</v>
      </c>
      <c r="R246" s="1" t="s">
        <v>4</v>
      </c>
      <c r="S246" s="1" t="s">
        <v>10</v>
      </c>
      <c r="T246" s="1"/>
      <c r="U246" s="1"/>
      <c r="V246" s="1"/>
      <c r="W246" s="1" t="s">
        <v>27</v>
      </c>
      <c r="X246" s="1" t="s">
        <v>1497</v>
      </c>
      <c r="Y246" s="1" t="s">
        <v>1497</v>
      </c>
      <c r="Z246" s="1" t="s">
        <v>1498</v>
      </c>
      <c r="AA246" s="1" t="s">
        <v>1499</v>
      </c>
      <c r="AB246" s="1" t="s">
        <v>1500</v>
      </c>
      <c r="AC246" s="1" t="s">
        <v>1501</v>
      </c>
      <c r="AD246" s="1" t="s">
        <v>17</v>
      </c>
      <c r="AE246" s="1" t="s">
        <v>18</v>
      </c>
      <c r="AF246" s="1" t="s">
        <v>19</v>
      </c>
      <c r="AG246" s="1" t="s">
        <v>19</v>
      </c>
      <c r="AH246" s="1" t="s">
        <v>1500</v>
      </c>
    </row>
    <row r="247" spans="2:34" ht="15">
      <c r="B247" s="4" t="s">
        <v>153</v>
      </c>
      <c r="C247" s="5">
        <v>43627</v>
      </c>
      <c r="D247" s="4" t="s">
        <v>154</v>
      </c>
      <c r="E247" s="4"/>
      <c r="F247" s="4" t="s">
        <v>3</v>
      </c>
      <c r="G247" s="4" t="s">
        <v>4</v>
      </c>
      <c r="H247" s="4" t="s">
        <v>81</v>
      </c>
      <c r="I247" s="5">
        <v>43626</v>
      </c>
      <c r="J247" s="6">
        <v>0.5053587962962963</v>
      </c>
      <c r="K247" s="5">
        <v>43630</v>
      </c>
      <c r="L247" s="4" t="s">
        <v>6</v>
      </c>
      <c r="M247" s="4"/>
      <c r="N247" s="4" t="s">
        <v>401</v>
      </c>
      <c r="O247" s="4" t="s">
        <v>402</v>
      </c>
      <c r="P247" s="4" t="s">
        <v>1502</v>
      </c>
      <c r="Q247" s="4" t="s">
        <v>4</v>
      </c>
      <c r="R247" s="4" t="s">
        <v>4</v>
      </c>
      <c r="S247" s="4" t="s">
        <v>10</v>
      </c>
      <c r="T247" s="4"/>
      <c r="U247" s="4"/>
      <c r="V247" s="4"/>
      <c r="W247" s="4" t="s">
        <v>27</v>
      </c>
      <c r="X247" s="4" t="s">
        <v>1503</v>
      </c>
      <c r="Y247" s="4" t="s">
        <v>1503</v>
      </c>
      <c r="Z247" s="4" t="s">
        <v>1504</v>
      </c>
      <c r="AA247" s="4" t="s">
        <v>1505</v>
      </c>
      <c r="AB247" s="4" t="s">
        <v>1506</v>
      </c>
      <c r="AC247" s="4" t="s">
        <v>1507</v>
      </c>
      <c r="AD247" s="4" t="s">
        <v>17</v>
      </c>
      <c r="AE247" s="4" t="s">
        <v>18</v>
      </c>
      <c r="AF247" s="4" t="s">
        <v>19</v>
      </c>
      <c r="AG247" s="4" t="s">
        <v>19</v>
      </c>
      <c r="AH247" s="4" t="s">
        <v>1506</v>
      </c>
    </row>
    <row r="248" spans="2:34" ht="15">
      <c r="B248" s="1" t="s">
        <v>153</v>
      </c>
      <c r="C248" s="2">
        <v>43627</v>
      </c>
      <c r="D248" s="1" t="s">
        <v>154</v>
      </c>
      <c r="E248" s="1"/>
      <c r="F248" s="1" t="s">
        <v>3</v>
      </c>
      <c r="G248" s="1" t="s">
        <v>4</v>
      </c>
      <c r="H248" s="1" t="s">
        <v>109</v>
      </c>
      <c r="I248" s="2">
        <v>43627</v>
      </c>
      <c r="J248" s="3">
        <v>0.4314699074074074</v>
      </c>
      <c r="K248" s="2">
        <v>43630</v>
      </c>
      <c r="L248" s="1" t="s">
        <v>6</v>
      </c>
      <c r="M248" s="1"/>
      <c r="N248" s="1" t="s">
        <v>145</v>
      </c>
      <c r="O248" s="1" t="s">
        <v>146</v>
      </c>
      <c r="P248" s="1" t="s">
        <v>1508</v>
      </c>
      <c r="Q248" s="1" t="s">
        <v>4</v>
      </c>
      <c r="R248" s="1" t="s">
        <v>4</v>
      </c>
      <c r="S248" s="1" t="s">
        <v>10</v>
      </c>
      <c r="T248" s="1"/>
      <c r="U248" s="1"/>
      <c r="V248" s="1"/>
      <c r="W248" s="1" t="s">
        <v>27</v>
      </c>
      <c r="X248" s="1" t="s">
        <v>1509</v>
      </c>
      <c r="Y248" s="1" t="s">
        <v>1509</v>
      </c>
      <c r="Z248" s="1" t="s">
        <v>1510</v>
      </c>
      <c r="AA248" s="1" t="s">
        <v>1511</v>
      </c>
      <c r="AB248" s="1" t="s">
        <v>1512</v>
      </c>
      <c r="AC248" s="1" t="s">
        <v>1513</v>
      </c>
      <c r="AD248" s="1" t="s">
        <v>17</v>
      </c>
      <c r="AE248" s="1" t="s">
        <v>18</v>
      </c>
      <c r="AF248" s="1" t="s">
        <v>19</v>
      </c>
      <c r="AG248" s="1" t="s">
        <v>19</v>
      </c>
      <c r="AH248" s="1" t="s">
        <v>1512</v>
      </c>
    </row>
    <row r="249" spans="2:34" ht="15">
      <c r="B249" s="4" t="s">
        <v>153</v>
      </c>
      <c r="C249" s="5">
        <v>43627</v>
      </c>
      <c r="D249" s="4" t="s">
        <v>154</v>
      </c>
      <c r="E249" s="4"/>
      <c r="F249" s="4" t="s">
        <v>3</v>
      </c>
      <c r="G249" s="4" t="s">
        <v>4</v>
      </c>
      <c r="H249" s="4" t="s">
        <v>119</v>
      </c>
      <c r="I249" s="5">
        <v>43627</v>
      </c>
      <c r="J249" s="6">
        <v>0.4177777777777778</v>
      </c>
      <c r="K249" s="5">
        <v>43630</v>
      </c>
      <c r="L249" s="4" t="s">
        <v>6</v>
      </c>
      <c r="M249" s="4"/>
      <c r="N249" s="4" t="s">
        <v>156</v>
      </c>
      <c r="O249" s="4" t="s">
        <v>157</v>
      </c>
      <c r="P249" s="4" t="s">
        <v>158</v>
      </c>
      <c r="Q249" s="4" t="s">
        <v>4</v>
      </c>
      <c r="R249" s="4" t="s">
        <v>4</v>
      </c>
      <c r="S249" s="4" t="s">
        <v>10</v>
      </c>
      <c r="T249" s="4"/>
      <c r="U249" s="4"/>
      <c r="V249" s="4"/>
      <c r="W249" s="4" t="s">
        <v>27</v>
      </c>
      <c r="X249" s="4" t="s">
        <v>1514</v>
      </c>
      <c r="Y249" s="4" t="s">
        <v>1514</v>
      </c>
      <c r="Z249" s="4" t="s">
        <v>169</v>
      </c>
      <c r="AA249" s="4" t="s">
        <v>1515</v>
      </c>
      <c r="AB249" s="4" t="s">
        <v>1516</v>
      </c>
      <c r="AC249" s="4" t="s">
        <v>1517</v>
      </c>
      <c r="AD249" s="4" t="s">
        <v>17</v>
      </c>
      <c r="AE249" s="4" t="s">
        <v>18</v>
      </c>
      <c r="AF249" s="4" t="s">
        <v>19</v>
      </c>
      <c r="AG249" s="4" t="s">
        <v>19</v>
      </c>
      <c r="AH249" s="4" t="s">
        <v>1516</v>
      </c>
    </row>
    <row r="250" spans="2:34" ht="15">
      <c r="B250" s="1" t="s">
        <v>1518</v>
      </c>
      <c r="C250" s="2">
        <v>43628</v>
      </c>
      <c r="D250" s="1" t="s">
        <v>21</v>
      </c>
      <c r="E250" s="1" t="s">
        <v>144</v>
      </c>
      <c r="F250" s="1" t="s">
        <v>3</v>
      </c>
      <c r="G250" s="1" t="s">
        <v>4</v>
      </c>
      <c r="H250" s="1" t="s">
        <v>914</v>
      </c>
      <c r="I250" s="2">
        <v>43628</v>
      </c>
      <c r="J250" s="3">
        <v>0.46488425925925925</v>
      </c>
      <c r="K250" s="2">
        <v>43630</v>
      </c>
      <c r="L250" s="1" t="s">
        <v>6</v>
      </c>
      <c r="M250" s="1"/>
      <c r="N250" s="1" t="s">
        <v>156</v>
      </c>
      <c r="O250" s="1" t="s">
        <v>157</v>
      </c>
      <c r="P250" s="1" t="s">
        <v>158</v>
      </c>
      <c r="Q250" s="1" t="s">
        <v>4</v>
      </c>
      <c r="R250" s="1" t="s">
        <v>4</v>
      </c>
      <c r="S250" s="1" t="s">
        <v>10</v>
      </c>
      <c r="T250" s="1"/>
      <c r="U250" s="1"/>
      <c r="V250" s="1"/>
      <c r="W250" s="1" t="s">
        <v>27</v>
      </c>
      <c r="X250" s="1" t="s">
        <v>1519</v>
      </c>
      <c r="Y250" s="1" t="s">
        <v>1519</v>
      </c>
      <c r="Z250" s="1" t="s">
        <v>1520</v>
      </c>
      <c r="AA250" s="1" t="s">
        <v>1521</v>
      </c>
      <c r="AB250" s="1" t="s">
        <v>1522</v>
      </c>
      <c r="AC250" s="1" t="s">
        <v>1523</v>
      </c>
      <c r="AD250" s="1" t="s">
        <v>17</v>
      </c>
      <c r="AE250" s="1" t="s">
        <v>18</v>
      </c>
      <c r="AF250" s="1" t="s">
        <v>19</v>
      </c>
      <c r="AG250" s="1" t="s">
        <v>19</v>
      </c>
      <c r="AH250" s="1" t="s">
        <v>1522</v>
      </c>
    </row>
    <row r="251" spans="2:34" ht="15">
      <c r="B251" s="4" t="s">
        <v>1524</v>
      </c>
      <c r="C251" s="5">
        <v>43628</v>
      </c>
      <c r="D251" s="4" t="s">
        <v>1</v>
      </c>
      <c r="E251" s="4" t="s">
        <v>22</v>
      </c>
      <c r="F251" s="4" t="s">
        <v>3</v>
      </c>
      <c r="G251" s="4" t="s">
        <v>4</v>
      </c>
      <c r="H251" s="4" t="s">
        <v>81</v>
      </c>
      <c r="I251" s="5">
        <v>43627</v>
      </c>
      <c r="J251" s="6">
        <v>0.6788541666666666</v>
      </c>
      <c r="K251" s="5">
        <v>43629</v>
      </c>
      <c r="L251" s="4" t="s">
        <v>6</v>
      </c>
      <c r="M251" s="4"/>
      <c r="N251" s="4" t="s">
        <v>401</v>
      </c>
      <c r="O251" s="4" t="s">
        <v>402</v>
      </c>
      <c r="P251" s="4" t="s">
        <v>1525</v>
      </c>
      <c r="Q251" s="4" t="s">
        <v>4</v>
      </c>
      <c r="R251" s="4" t="s">
        <v>4</v>
      </c>
      <c r="S251" s="4" t="s">
        <v>10</v>
      </c>
      <c r="T251" s="4"/>
      <c r="U251" s="4"/>
      <c r="V251" s="4"/>
      <c r="W251" s="4" t="s">
        <v>27</v>
      </c>
      <c r="X251" s="4" t="s">
        <v>1526</v>
      </c>
      <c r="Y251" s="4" t="s">
        <v>1526</v>
      </c>
      <c r="Z251" s="4" t="s">
        <v>1368</v>
      </c>
      <c r="AA251" s="4" t="s">
        <v>1527</v>
      </c>
      <c r="AB251" s="4" t="s">
        <v>1528</v>
      </c>
      <c r="AC251" s="4" t="s">
        <v>1529</v>
      </c>
      <c r="AD251" s="4" t="s">
        <v>17</v>
      </c>
      <c r="AE251" s="4" t="s">
        <v>18</v>
      </c>
      <c r="AF251" s="4" t="s">
        <v>19</v>
      </c>
      <c r="AG251" s="4" t="s">
        <v>19</v>
      </c>
      <c r="AH251" s="4" t="s">
        <v>1528</v>
      </c>
    </row>
    <row r="252" spans="2:34" ht="15">
      <c r="B252" s="1" t="s">
        <v>1524</v>
      </c>
      <c r="C252" s="2">
        <v>43628</v>
      </c>
      <c r="D252" s="1" t="s">
        <v>1</v>
      </c>
      <c r="E252" s="1" t="s">
        <v>108</v>
      </c>
      <c r="F252" s="1" t="s">
        <v>3</v>
      </c>
      <c r="G252" s="1" t="s">
        <v>4</v>
      </c>
      <c r="H252" s="1" t="s">
        <v>23</v>
      </c>
      <c r="I252" s="2">
        <v>43628</v>
      </c>
      <c r="J252" s="3">
        <v>0.3721412037037037</v>
      </c>
      <c r="K252" s="2">
        <v>43630</v>
      </c>
      <c r="L252" s="1" t="s">
        <v>6</v>
      </c>
      <c r="M252" s="1"/>
      <c r="N252" s="1" t="s">
        <v>1530</v>
      </c>
      <c r="O252" s="1" t="s">
        <v>1531</v>
      </c>
      <c r="P252" s="1" t="s">
        <v>1532</v>
      </c>
      <c r="Q252" s="1" t="s">
        <v>4</v>
      </c>
      <c r="R252" s="1" t="s">
        <v>4</v>
      </c>
      <c r="S252" s="1" t="s">
        <v>10</v>
      </c>
      <c r="T252" s="1"/>
      <c r="U252" s="1"/>
      <c r="V252" s="1"/>
      <c r="W252" s="1" t="s">
        <v>27</v>
      </c>
      <c r="X252" s="1" t="s">
        <v>959</v>
      </c>
      <c r="Y252" s="1" t="s">
        <v>959</v>
      </c>
      <c r="Z252" s="1" t="s">
        <v>1533</v>
      </c>
      <c r="AA252" s="1" t="s">
        <v>1534</v>
      </c>
      <c r="AB252" s="1" t="s">
        <v>1535</v>
      </c>
      <c r="AC252" s="1" t="s">
        <v>1536</v>
      </c>
      <c r="AD252" s="1" t="s">
        <v>17</v>
      </c>
      <c r="AE252" s="1" t="s">
        <v>18</v>
      </c>
      <c r="AF252" s="1" t="s">
        <v>19</v>
      </c>
      <c r="AG252" s="1" t="s">
        <v>19</v>
      </c>
      <c r="AH252" s="1" t="s">
        <v>1535</v>
      </c>
    </row>
    <row r="253" spans="2:34" ht="15">
      <c r="B253" s="4" t="s">
        <v>153</v>
      </c>
      <c r="C253" s="5">
        <v>43628</v>
      </c>
      <c r="D253" s="4" t="s">
        <v>154</v>
      </c>
      <c r="E253" s="4" t="s">
        <v>1537</v>
      </c>
      <c r="F253" s="4" t="s">
        <v>3</v>
      </c>
      <c r="G253" s="4" t="s">
        <v>4</v>
      </c>
      <c r="H253" s="4" t="s">
        <v>119</v>
      </c>
      <c r="I253" s="5">
        <v>43628</v>
      </c>
      <c r="J253" s="6">
        <v>0.3474305555555556</v>
      </c>
      <c r="K253" s="5">
        <v>43630</v>
      </c>
      <c r="L253" s="4" t="s">
        <v>6</v>
      </c>
      <c r="M253" s="4"/>
      <c r="N253" s="4" t="s">
        <v>467</v>
      </c>
      <c r="O253" s="4" t="s">
        <v>468</v>
      </c>
      <c r="P253" s="4" t="s">
        <v>469</v>
      </c>
      <c r="Q253" s="4" t="s">
        <v>4</v>
      </c>
      <c r="R253" s="4" t="s">
        <v>4</v>
      </c>
      <c r="S253" s="4" t="s">
        <v>10</v>
      </c>
      <c r="T253" s="4"/>
      <c r="U253" s="4"/>
      <c r="V253" s="4"/>
      <c r="W253" s="4" t="s">
        <v>27</v>
      </c>
      <c r="X253" s="4" t="s">
        <v>1538</v>
      </c>
      <c r="Y253" s="4" t="s">
        <v>1538</v>
      </c>
      <c r="Z253" s="4" t="s">
        <v>1539</v>
      </c>
      <c r="AA253" s="4" t="s">
        <v>1540</v>
      </c>
      <c r="AB253" s="4" t="s">
        <v>1541</v>
      </c>
      <c r="AC253" s="4" t="s">
        <v>1542</v>
      </c>
      <c r="AD253" s="4" t="s">
        <v>17</v>
      </c>
      <c r="AE253" s="4" t="s">
        <v>18</v>
      </c>
      <c r="AF253" s="4" t="s">
        <v>19</v>
      </c>
      <c r="AG253" s="4" t="s">
        <v>19</v>
      </c>
      <c r="AH253" s="4" t="s">
        <v>1541</v>
      </c>
    </row>
    <row r="254" spans="2:34" ht="15">
      <c r="B254" s="1" t="s">
        <v>153</v>
      </c>
      <c r="C254" s="2">
        <v>43628</v>
      </c>
      <c r="D254" s="1" t="s">
        <v>154</v>
      </c>
      <c r="E254" s="1" t="s">
        <v>1543</v>
      </c>
      <c r="F254" s="1" t="s">
        <v>3</v>
      </c>
      <c r="G254" s="1" t="s">
        <v>4</v>
      </c>
      <c r="H254" s="1" t="s">
        <v>315</v>
      </c>
      <c r="I254" s="2">
        <v>43628</v>
      </c>
      <c r="J254" s="3">
        <v>0.4117476851851852</v>
      </c>
      <c r="K254" s="2">
        <v>43630</v>
      </c>
      <c r="L254" s="1" t="s">
        <v>6</v>
      </c>
      <c r="M254" s="1"/>
      <c r="N254" s="1" t="s">
        <v>127</v>
      </c>
      <c r="O254" s="1" t="s">
        <v>128</v>
      </c>
      <c r="P254" s="1" t="s">
        <v>1544</v>
      </c>
      <c r="Q254" s="1" t="s">
        <v>4</v>
      </c>
      <c r="R254" s="1" t="s">
        <v>4</v>
      </c>
      <c r="S254" s="1" t="s">
        <v>10</v>
      </c>
      <c r="T254" s="1"/>
      <c r="U254" s="1"/>
      <c r="V254" s="1"/>
      <c r="W254" s="1" t="s">
        <v>27</v>
      </c>
      <c r="X254" s="1" t="s">
        <v>1545</v>
      </c>
      <c r="Y254" s="1" t="s">
        <v>1545</v>
      </c>
      <c r="Z254" s="1" t="s">
        <v>1478</v>
      </c>
      <c r="AA254" s="1" t="s">
        <v>1546</v>
      </c>
      <c r="AB254" s="1" t="s">
        <v>1547</v>
      </c>
      <c r="AC254" s="1" t="s">
        <v>1548</v>
      </c>
      <c r="AD254" s="1" t="s">
        <v>17</v>
      </c>
      <c r="AE254" s="1" t="s">
        <v>18</v>
      </c>
      <c r="AF254" s="1" t="s">
        <v>19</v>
      </c>
      <c r="AG254" s="1" t="s">
        <v>19</v>
      </c>
      <c r="AH254" s="1" t="s">
        <v>1547</v>
      </c>
    </row>
    <row r="255" spans="2:34" ht="15">
      <c r="B255" s="4" t="s">
        <v>1518</v>
      </c>
      <c r="C255" s="5">
        <v>43629</v>
      </c>
      <c r="D255" s="4" t="s">
        <v>21</v>
      </c>
      <c r="E255" s="4" t="s">
        <v>1549</v>
      </c>
      <c r="F255" s="4" t="s">
        <v>3</v>
      </c>
      <c r="G255" s="4" t="s">
        <v>4</v>
      </c>
      <c r="H255" s="4" t="s">
        <v>1277</v>
      </c>
      <c r="I255" s="5">
        <v>43628</v>
      </c>
      <c r="J255" s="6">
        <v>0.6479166666666667</v>
      </c>
      <c r="K255" s="5">
        <v>43630</v>
      </c>
      <c r="L255" s="4" t="s">
        <v>6</v>
      </c>
      <c r="M255" s="4"/>
      <c r="N255" s="4" t="s">
        <v>1407</v>
      </c>
      <c r="O255" s="4" t="s">
        <v>1408</v>
      </c>
      <c r="P255" s="4" t="s">
        <v>1550</v>
      </c>
      <c r="Q255" s="4" t="s">
        <v>4</v>
      </c>
      <c r="R255" s="4" t="s">
        <v>4</v>
      </c>
      <c r="S255" s="4" t="s">
        <v>10</v>
      </c>
      <c r="T255" s="4"/>
      <c r="U255" s="4"/>
      <c r="V255" s="4"/>
      <c r="W255" s="4" t="s">
        <v>27</v>
      </c>
      <c r="X255" s="4" t="s">
        <v>1551</v>
      </c>
      <c r="Y255" s="4" t="s">
        <v>1551</v>
      </c>
      <c r="Z255" s="4" t="s">
        <v>1552</v>
      </c>
      <c r="AA255" s="4" t="s">
        <v>1553</v>
      </c>
      <c r="AB255" s="4" t="s">
        <v>1554</v>
      </c>
      <c r="AC255" s="4" t="s">
        <v>1555</v>
      </c>
      <c r="AD255" s="4" t="s">
        <v>17</v>
      </c>
      <c r="AE255" s="4" t="s">
        <v>18</v>
      </c>
      <c r="AF255" s="4" t="s">
        <v>19</v>
      </c>
      <c r="AG255" s="4" t="s">
        <v>19</v>
      </c>
      <c r="AH255" s="4" t="s">
        <v>1554</v>
      </c>
    </row>
    <row r="256" spans="2:34" ht="15">
      <c r="B256" s="1" t="s">
        <v>1518</v>
      </c>
      <c r="C256" s="2">
        <v>43629</v>
      </c>
      <c r="D256" s="1" t="s">
        <v>21</v>
      </c>
      <c r="E256" s="1" t="s">
        <v>1556</v>
      </c>
      <c r="F256" s="1" t="s">
        <v>3</v>
      </c>
      <c r="G256" s="1" t="s">
        <v>4</v>
      </c>
      <c r="H256" s="1" t="s">
        <v>183</v>
      </c>
      <c r="I256" s="2">
        <v>43628</v>
      </c>
      <c r="J256" s="3">
        <v>0.45902777777777776</v>
      </c>
      <c r="K256" s="2">
        <v>43630</v>
      </c>
      <c r="L256" s="1" t="s">
        <v>6</v>
      </c>
      <c r="M256" s="1"/>
      <c r="N256" s="1" t="s">
        <v>1557</v>
      </c>
      <c r="O256" s="1" t="s">
        <v>1558</v>
      </c>
      <c r="P256" s="1" t="s">
        <v>1559</v>
      </c>
      <c r="Q256" s="1" t="s">
        <v>4</v>
      </c>
      <c r="R256" s="1" t="s">
        <v>4</v>
      </c>
      <c r="S256" s="1" t="s">
        <v>10</v>
      </c>
      <c r="T256" s="1"/>
      <c r="U256" s="1"/>
      <c r="V256" s="1"/>
      <c r="W256" s="1" t="s">
        <v>27</v>
      </c>
      <c r="X256" s="1" t="s">
        <v>1560</v>
      </c>
      <c r="Y256" s="1" t="s">
        <v>1560</v>
      </c>
      <c r="Z256" s="1" t="s">
        <v>1561</v>
      </c>
      <c r="AA256" s="1" t="s">
        <v>1562</v>
      </c>
      <c r="AB256" s="1" t="s">
        <v>1563</v>
      </c>
      <c r="AC256" s="1" t="s">
        <v>1564</v>
      </c>
      <c r="AD256" s="1" t="s">
        <v>17</v>
      </c>
      <c r="AE256" s="1" t="s">
        <v>18</v>
      </c>
      <c r="AF256" s="1" t="s">
        <v>19</v>
      </c>
      <c r="AG256" s="1" t="s">
        <v>19</v>
      </c>
      <c r="AH256" s="1" t="s">
        <v>1563</v>
      </c>
    </row>
    <row r="257" spans="2:34" ht="15">
      <c r="B257" s="4" t="s">
        <v>1524</v>
      </c>
      <c r="C257" s="5">
        <v>43629</v>
      </c>
      <c r="D257" s="4" t="s">
        <v>1</v>
      </c>
      <c r="E257" s="4" t="s">
        <v>80</v>
      </c>
      <c r="F257" s="4" t="s">
        <v>3</v>
      </c>
      <c r="G257" s="4" t="s">
        <v>4</v>
      </c>
      <c r="H257" s="4" t="s">
        <v>1277</v>
      </c>
      <c r="I257" s="5">
        <v>43628</v>
      </c>
      <c r="J257" s="6">
        <v>0.6479166666666667</v>
      </c>
      <c r="K257" s="5">
        <v>43630</v>
      </c>
      <c r="L257" s="4" t="s">
        <v>6</v>
      </c>
      <c r="M257" s="4"/>
      <c r="N257" s="4" t="s">
        <v>1407</v>
      </c>
      <c r="O257" s="4" t="s">
        <v>1408</v>
      </c>
      <c r="P257" s="4" t="s">
        <v>1550</v>
      </c>
      <c r="Q257" s="4" t="s">
        <v>4</v>
      </c>
      <c r="R257" s="4" t="s">
        <v>4</v>
      </c>
      <c r="S257" s="4" t="s">
        <v>10</v>
      </c>
      <c r="T257" s="4"/>
      <c r="U257" s="4"/>
      <c r="V257" s="4"/>
      <c r="W257" s="4" t="s">
        <v>27</v>
      </c>
      <c r="X257" s="4" t="s">
        <v>1565</v>
      </c>
      <c r="Y257" s="4" t="s">
        <v>1565</v>
      </c>
      <c r="Z257" s="4" t="s">
        <v>1552</v>
      </c>
      <c r="AA257" s="4" t="s">
        <v>1566</v>
      </c>
      <c r="AB257" s="4" t="s">
        <v>1567</v>
      </c>
      <c r="AC257" s="4" t="s">
        <v>1568</v>
      </c>
      <c r="AD257" s="4" t="s">
        <v>17</v>
      </c>
      <c r="AE257" s="4" t="s">
        <v>18</v>
      </c>
      <c r="AF257" s="4" t="s">
        <v>19</v>
      </c>
      <c r="AG257" s="4" t="s">
        <v>19</v>
      </c>
      <c r="AH257" s="4" t="s">
        <v>1567</v>
      </c>
    </row>
    <row r="258" spans="2:34" ht="15">
      <c r="B258" s="1" t="s">
        <v>1524</v>
      </c>
      <c r="C258" s="2">
        <v>43629</v>
      </c>
      <c r="D258" s="1" t="s">
        <v>1</v>
      </c>
      <c r="E258" s="1" t="s">
        <v>89</v>
      </c>
      <c r="F258" s="1" t="s">
        <v>3</v>
      </c>
      <c r="G258" s="1" t="s">
        <v>4</v>
      </c>
      <c r="H258" s="1" t="s">
        <v>23</v>
      </c>
      <c r="I258" s="2">
        <v>43628</v>
      </c>
      <c r="J258" s="3">
        <v>0.5778009259259259</v>
      </c>
      <c r="K258" s="2">
        <v>43630</v>
      </c>
      <c r="L258" s="1" t="s">
        <v>6</v>
      </c>
      <c r="M258" s="1"/>
      <c r="N258" s="1" t="s">
        <v>24</v>
      </c>
      <c r="O258" s="1" t="s">
        <v>25</v>
      </c>
      <c r="P258" s="1" t="s">
        <v>1569</v>
      </c>
      <c r="Q258" s="1" t="s">
        <v>4</v>
      </c>
      <c r="R258" s="1" t="s">
        <v>4</v>
      </c>
      <c r="S258" s="1" t="s">
        <v>10</v>
      </c>
      <c r="T258" s="1"/>
      <c r="U258" s="1"/>
      <c r="V258" s="1"/>
      <c r="W258" s="1" t="s">
        <v>27</v>
      </c>
      <c r="X258" s="1" t="s">
        <v>42</v>
      </c>
      <c r="Y258" s="1" t="s">
        <v>42</v>
      </c>
      <c r="Z258" s="1" t="s">
        <v>1570</v>
      </c>
      <c r="AA258" s="1" t="s">
        <v>130</v>
      </c>
      <c r="AB258" s="1" t="s">
        <v>1571</v>
      </c>
      <c r="AC258" s="1" t="s">
        <v>1572</v>
      </c>
      <c r="AD258" s="1" t="s">
        <v>17</v>
      </c>
      <c r="AE258" s="1" t="s">
        <v>18</v>
      </c>
      <c r="AF258" s="1" t="s">
        <v>19</v>
      </c>
      <c r="AG258" s="1" t="s">
        <v>19</v>
      </c>
      <c r="AH258" s="1" t="s">
        <v>1571</v>
      </c>
    </row>
    <row r="259" spans="2:34" ht="15">
      <c r="B259" s="4" t="s">
        <v>153</v>
      </c>
      <c r="C259" s="5">
        <v>43629</v>
      </c>
      <c r="D259" s="4" t="s">
        <v>154</v>
      </c>
      <c r="E259" s="4" t="s">
        <v>1573</v>
      </c>
      <c r="F259" s="4" t="s">
        <v>3</v>
      </c>
      <c r="G259" s="4" t="s">
        <v>4</v>
      </c>
      <c r="H259" s="4" t="s">
        <v>183</v>
      </c>
      <c r="I259" s="5">
        <v>43628</v>
      </c>
      <c r="J259" s="6">
        <v>0.45902777777777776</v>
      </c>
      <c r="K259" s="5">
        <v>43630</v>
      </c>
      <c r="L259" s="4" t="s">
        <v>6</v>
      </c>
      <c r="M259" s="4"/>
      <c r="N259" s="4" t="s">
        <v>1557</v>
      </c>
      <c r="O259" s="4" t="s">
        <v>1574</v>
      </c>
      <c r="P259" s="4" t="s">
        <v>1559</v>
      </c>
      <c r="Q259" s="4" t="s">
        <v>4</v>
      </c>
      <c r="R259" s="4" t="s">
        <v>4</v>
      </c>
      <c r="S259" s="4" t="s">
        <v>10</v>
      </c>
      <c r="T259" s="4"/>
      <c r="U259" s="4"/>
      <c r="V259" s="4"/>
      <c r="W259" s="4" t="s">
        <v>27</v>
      </c>
      <c r="X259" s="4" t="s">
        <v>1575</v>
      </c>
      <c r="Y259" s="4" t="s">
        <v>1575</v>
      </c>
      <c r="Z259" s="4" t="s">
        <v>1561</v>
      </c>
      <c r="AA259" s="4" t="s">
        <v>1576</v>
      </c>
      <c r="AB259" s="4" t="s">
        <v>1577</v>
      </c>
      <c r="AC259" s="4" t="s">
        <v>1578</v>
      </c>
      <c r="AD259" s="4" t="s">
        <v>17</v>
      </c>
      <c r="AE259" s="4" t="s">
        <v>18</v>
      </c>
      <c r="AF259" s="4" t="s">
        <v>19</v>
      </c>
      <c r="AG259" s="4" t="s">
        <v>19</v>
      </c>
      <c r="AH259" s="4" t="s">
        <v>1577</v>
      </c>
    </row>
    <row r="260" spans="2:34" ht="15">
      <c r="B260" s="1" t="s">
        <v>153</v>
      </c>
      <c r="C260" s="2">
        <v>43629</v>
      </c>
      <c r="D260" s="1" t="s">
        <v>154</v>
      </c>
      <c r="E260" s="1" t="s">
        <v>1579</v>
      </c>
      <c r="F260" s="1" t="s">
        <v>3</v>
      </c>
      <c r="G260" s="1" t="s">
        <v>4</v>
      </c>
      <c r="H260" s="1" t="s">
        <v>119</v>
      </c>
      <c r="I260" s="2">
        <v>43628</v>
      </c>
      <c r="J260" s="3">
        <v>0.5944212962962963</v>
      </c>
      <c r="K260" s="2">
        <v>43630</v>
      </c>
      <c r="L260" s="1" t="s">
        <v>6</v>
      </c>
      <c r="M260" s="1"/>
      <c r="N260" s="1" t="s">
        <v>288</v>
      </c>
      <c r="O260" s="1" t="s">
        <v>289</v>
      </c>
      <c r="P260" s="1" t="s">
        <v>1580</v>
      </c>
      <c r="Q260" s="1" t="s">
        <v>4</v>
      </c>
      <c r="R260" s="1" t="s">
        <v>4</v>
      </c>
      <c r="S260" s="1" t="s">
        <v>10</v>
      </c>
      <c r="T260" s="1"/>
      <c r="U260" s="1"/>
      <c r="V260" s="1"/>
      <c r="W260" s="1" t="s">
        <v>27</v>
      </c>
      <c r="X260" s="1" t="s">
        <v>1581</v>
      </c>
      <c r="Y260" s="1" t="s">
        <v>1581</v>
      </c>
      <c r="Z260" s="1" t="s">
        <v>1582</v>
      </c>
      <c r="AA260" s="1" t="s">
        <v>1583</v>
      </c>
      <c r="AB260" s="1" t="s">
        <v>1584</v>
      </c>
      <c r="AC260" s="1" t="s">
        <v>1585</v>
      </c>
      <c r="AD260" s="1" t="s">
        <v>17</v>
      </c>
      <c r="AE260" s="1" t="s">
        <v>18</v>
      </c>
      <c r="AF260" s="1" t="s">
        <v>19</v>
      </c>
      <c r="AG260" s="1" t="s">
        <v>19</v>
      </c>
      <c r="AH260" s="1" t="s">
        <v>1584</v>
      </c>
    </row>
    <row r="261" spans="2:34" ht="15">
      <c r="B261" s="4" t="s">
        <v>153</v>
      </c>
      <c r="C261" s="5">
        <v>43629</v>
      </c>
      <c r="D261" s="4" t="s">
        <v>154</v>
      </c>
      <c r="E261" s="4" t="s">
        <v>1586</v>
      </c>
      <c r="F261" s="4" t="s">
        <v>3</v>
      </c>
      <c r="G261" s="4" t="s">
        <v>4</v>
      </c>
      <c r="H261" s="4" t="s">
        <v>90</v>
      </c>
      <c r="I261" s="5">
        <v>43629</v>
      </c>
      <c r="J261" s="6">
        <v>0.4576388888888889</v>
      </c>
      <c r="K261" s="5">
        <v>43633</v>
      </c>
      <c r="L261" s="4" t="s">
        <v>6</v>
      </c>
      <c r="M261" s="4"/>
      <c r="N261" s="4" t="s">
        <v>712</v>
      </c>
      <c r="O261" s="4" t="s">
        <v>428</v>
      </c>
      <c r="P261" s="4" t="s">
        <v>713</v>
      </c>
      <c r="Q261" s="4" t="s">
        <v>4</v>
      </c>
      <c r="R261" s="4" t="s">
        <v>4</v>
      </c>
      <c r="S261" s="4" t="s">
        <v>10</v>
      </c>
      <c r="T261" s="4"/>
      <c r="U261" s="4"/>
      <c r="V261" s="4"/>
      <c r="W261" s="4" t="s">
        <v>27</v>
      </c>
      <c r="X261" s="4" t="s">
        <v>113</v>
      </c>
      <c r="Y261" s="4" t="s">
        <v>113</v>
      </c>
      <c r="Z261" s="4" t="s">
        <v>1587</v>
      </c>
      <c r="AA261" s="4" t="s">
        <v>1588</v>
      </c>
      <c r="AB261" s="4" t="s">
        <v>1589</v>
      </c>
      <c r="AC261" s="4" t="s">
        <v>1590</v>
      </c>
      <c r="AD261" s="4" t="s">
        <v>17</v>
      </c>
      <c r="AE261" s="4" t="s">
        <v>18</v>
      </c>
      <c r="AF261" s="4" t="s">
        <v>19</v>
      </c>
      <c r="AG261" s="4" t="s">
        <v>19</v>
      </c>
      <c r="AH261" s="4" t="s">
        <v>1589</v>
      </c>
    </row>
    <row r="262" spans="2:34" ht="15">
      <c r="B262" s="1" t="s">
        <v>1518</v>
      </c>
      <c r="C262" s="2">
        <v>43630</v>
      </c>
      <c r="D262" s="1" t="s">
        <v>21</v>
      </c>
      <c r="E262" s="1" t="s">
        <v>1591</v>
      </c>
      <c r="F262" s="1" t="s">
        <v>3</v>
      </c>
      <c r="G262" s="1" t="s">
        <v>4</v>
      </c>
      <c r="H262" s="1" t="s">
        <v>183</v>
      </c>
      <c r="I262" s="2">
        <v>43629</v>
      </c>
      <c r="J262" s="3">
        <v>0.6055902777777777</v>
      </c>
      <c r="K262" s="2">
        <v>43633</v>
      </c>
      <c r="L262" s="1" t="s">
        <v>6</v>
      </c>
      <c r="M262" s="1"/>
      <c r="N262" s="1" t="s">
        <v>1557</v>
      </c>
      <c r="O262" s="1" t="s">
        <v>1574</v>
      </c>
      <c r="P262" s="1" t="s">
        <v>1592</v>
      </c>
      <c r="Q262" s="1" t="s">
        <v>4</v>
      </c>
      <c r="R262" s="1" t="s">
        <v>4</v>
      </c>
      <c r="S262" s="1" t="s">
        <v>10</v>
      </c>
      <c r="T262" s="1"/>
      <c r="U262" s="1"/>
      <c r="V262" s="1"/>
      <c r="W262" s="1" t="s">
        <v>27</v>
      </c>
      <c r="X262" s="1" t="s">
        <v>1593</v>
      </c>
      <c r="Y262" s="1" t="s">
        <v>1593</v>
      </c>
      <c r="Z262" s="1" t="s">
        <v>1594</v>
      </c>
      <c r="AA262" s="1" t="s">
        <v>1595</v>
      </c>
      <c r="AB262" s="1" t="s">
        <v>1596</v>
      </c>
      <c r="AC262" s="1" t="s">
        <v>1597</v>
      </c>
      <c r="AD262" s="1" t="s">
        <v>17</v>
      </c>
      <c r="AE262" s="1" t="s">
        <v>18</v>
      </c>
      <c r="AF262" s="1" t="s">
        <v>19</v>
      </c>
      <c r="AG262" s="1" t="s">
        <v>19</v>
      </c>
      <c r="AH262" s="1" t="s">
        <v>1596</v>
      </c>
    </row>
    <row r="263" spans="2:34" ht="15">
      <c r="B263" s="4" t="s">
        <v>153</v>
      </c>
      <c r="C263" s="5">
        <v>43630</v>
      </c>
      <c r="D263" s="4" t="s">
        <v>154</v>
      </c>
      <c r="E263" s="4" t="s">
        <v>1598</v>
      </c>
      <c r="F263" s="4" t="s">
        <v>3</v>
      </c>
      <c r="G263" s="4" t="s">
        <v>4</v>
      </c>
      <c r="H263" s="4" t="s">
        <v>183</v>
      </c>
      <c r="I263" s="5">
        <v>43629</v>
      </c>
      <c r="J263" s="6">
        <v>0.6055902777777777</v>
      </c>
      <c r="K263" s="5">
        <v>43633</v>
      </c>
      <c r="L263" s="4" t="s">
        <v>6</v>
      </c>
      <c r="M263" s="4"/>
      <c r="N263" s="4" t="s">
        <v>1557</v>
      </c>
      <c r="O263" s="4" t="s">
        <v>1574</v>
      </c>
      <c r="P263" s="4" t="s">
        <v>1592</v>
      </c>
      <c r="Q263" s="4" t="s">
        <v>4</v>
      </c>
      <c r="R263" s="4" t="s">
        <v>4</v>
      </c>
      <c r="S263" s="4" t="s">
        <v>10</v>
      </c>
      <c r="T263" s="4"/>
      <c r="U263" s="4"/>
      <c r="V263" s="4"/>
      <c r="W263" s="4" t="s">
        <v>27</v>
      </c>
      <c r="X263" s="4" t="s">
        <v>1599</v>
      </c>
      <c r="Y263" s="4" t="s">
        <v>1599</v>
      </c>
      <c r="Z263" s="4" t="s">
        <v>1594</v>
      </c>
      <c r="AA263" s="4" t="s">
        <v>1600</v>
      </c>
      <c r="AB263" s="4" t="s">
        <v>1601</v>
      </c>
      <c r="AC263" s="4" t="s">
        <v>1602</v>
      </c>
      <c r="AD263" s="4" t="s">
        <v>17</v>
      </c>
      <c r="AE263" s="4" t="s">
        <v>18</v>
      </c>
      <c r="AF263" s="4" t="s">
        <v>19</v>
      </c>
      <c r="AG263" s="4" t="s">
        <v>19</v>
      </c>
      <c r="AH263" s="4" t="s">
        <v>1601</v>
      </c>
    </row>
    <row r="264" spans="2:34" ht="15">
      <c r="B264" s="1" t="s">
        <v>1518</v>
      </c>
      <c r="C264" s="2">
        <v>43633</v>
      </c>
      <c r="D264" s="1" t="s">
        <v>21</v>
      </c>
      <c r="E264" s="1" t="s">
        <v>1549</v>
      </c>
      <c r="F264" s="1" t="s">
        <v>3</v>
      </c>
      <c r="G264" s="1" t="s">
        <v>85</v>
      </c>
      <c r="H264" s="1" t="s">
        <v>1277</v>
      </c>
      <c r="I264" s="2">
        <v>43628</v>
      </c>
      <c r="J264" s="3">
        <v>0.6479166666666667</v>
      </c>
      <c r="K264" s="2">
        <v>43630</v>
      </c>
      <c r="L264" s="1" t="s">
        <v>6</v>
      </c>
      <c r="M264" s="1"/>
      <c r="N264" s="1" t="s">
        <v>1407</v>
      </c>
      <c r="O264" s="1" t="s">
        <v>1408</v>
      </c>
      <c r="P264" s="1" t="s">
        <v>1550</v>
      </c>
      <c r="Q264" s="1" t="s">
        <v>4</v>
      </c>
      <c r="R264" s="1" t="s">
        <v>4</v>
      </c>
      <c r="S264" s="1" t="s">
        <v>10</v>
      </c>
      <c r="T264" s="1"/>
      <c r="U264" s="1"/>
      <c r="V264" s="1"/>
      <c r="W264" s="1" t="s">
        <v>27</v>
      </c>
      <c r="X264" s="1" t="s">
        <v>1551</v>
      </c>
      <c r="Y264" s="1" t="s">
        <v>1551</v>
      </c>
      <c r="Z264" s="1" t="s">
        <v>1552</v>
      </c>
      <c r="AA264" s="1" t="s">
        <v>1553</v>
      </c>
      <c r="AB264" s="1" t="s">
        <v>1554</v>
      </c>
      <c r="AC264" s="1" t="s">
        <v>1555</v>
      </c>
      <c r="AD264" s="1" t="s">
        <v>17</v>
      </c>
      <c r="AE264" s="1" t="s">
        <v>18</v>
      </c>
      <c r="AF264" s="1" t="s">
        <v>19</v>
      </c>
      <c r="AG264" s="1" t="s">
        <v>19</v>
      </c>
      <c r="AH264" s="1" t="s">
        <v>1554</v>
      </c>
    </row>
    <row r="265" spans="2:34" ht="15">
      <c r="B265" s="4" t="s">
        <v>1518</v>
      </c>
      <c r="C265" s="5">
        <v>43633</v>
      </c>
      <c r="D265" s="4" t="s">
        <v>21</v>
      </c>
      <c r="E265" s="4" t="s">
        <v>1603</v>
      </c>
      <c r="F265" s="4" t="s">
        <v>3</v>
      </c>
      <c r="G265" s="4" t="s">
        <v>4</v>
      </c>
      <c r="H265" s="4" t="s">
        <v>1277</v>
      </c>
      <c r="I265" s="5">
        <v>43628</v>
      </c>
      <c r="J265" s="6">
        <v>0.6479166666666667</v>
      </c>
      <c r="K265" s="5">
        <v>43635</v>
      </c>
      <c r="L265" s="4" t="s">
        <v>6</v>
      </c>
      <c r="M265" s="4"/>
      <c r="N265" s="4" t="s">
        <v>1407</v>
      </c>
      <c r="O265" s="4" t="s">
        <v>1408</v>
      </c>
      <c r="P265" s="4" t="s">
        <v>1550</v>
      </c>
      <c r="Q265" s="4" t="s">
        <v>4</v>
      </c>
      <c r="R265" s="4" t="s">
        <v>4</v>
      </c>
      <c r="S265" s="4" t="s">
        <v>10</v>
      </c>
      <c r="T265" s="4"/>
      <c r="U265" s="4"/>
      <c r="V265" s="4"/>
      <c r="W265" s="4" t="s">
        <v>27</v>
      </c>
      <c r="X265" s="4" t="s">
        <v>1604</v>
      </c>
      <c r="Y265" s="4" t="s">
        <v>1604</v>
      </c>
      <c r="Z265" s="4" t="s">
        <v>1552</v>
      </c>
      <c r="AA265" s="4" t="s">
        <v>1605</v>
      </c>
      <c r="AB265" s="4" t="s">
        <v>1606</v>
      </c>
      <c r="AC265" s="4" t="s">
        <v>1607</v>
      </c>
      <c r="AD265" s="4" t="s">
        <v>17</v>
      </c>
      <c r="AE265" s="4" t="s">
        <v>18</v>
      </c>
      <c r="AF265" s="4" t="s">
        <v>19</v>
      </c>
      <c r="AG265" s="4" t="s">
        <v>19</v>
      </c>
      <c r="AH265" s="4" t="s">
        <v>1606</v>
      </c>
    </row>
    <row r="266" spans="2:34" ht="15">
      <c r="B266" s="1" t="s">
        <v>1518</v>
      </c>
      <c r="C266" s="2">
        <v>43633</v>
      </c>
      <c r="D266" s="1" t="s">
        <v>21</v>
      </c>
      <c r="E266" s="1" t="s">
        <v>1608</v>
      </c>
      <c r="F266" s="1" t="s">
        <v>3</v>
      </c>
      <c r="G266" s="1" t="s">
        <v>4</v>
      </c>
      <c r="H266" s="1" t="s">
        <v>1277</v>
      </c>
      <c r="I266" s="2">
        <v>43630</v>
      </c>
      <c r="J266" s="3">
        <v>0.6013888888888889</v>
      </c>
      <c r="K266" s="2">
        <v>43634</v>
      </c>
      <c r="L266" s="1" t="s">
        <v>6</v>
      </c>
      <c r="M266" s="1"/>
      <c r="N266" s="1" t="s">
        <v>1407</v>
      </c>
      <c r="O266" s="1" t="s">
        <v>1408</v>
      </c>
      <c r="P266" s="1" t="s">
        <v>1409</v>
      </c>
      <c r="Q266" s="1" t="s">
        <v>4</v>
      </c>
      <c r="R266" s="1" t="s">
        <v>4</v>
      </c>
      <c r="S266" s="1" t="s">
        <v>10</v>
      </c>
      <c r="T266" s="1"/>
      <c r="U266" s="1"/>
      <c r="V266" s="1"/>
      <c r="W266" s="1" t="s">
        <v>27</v>
      </c>
      <c r="X266" s="1" t="s">
        <v>1609</v>
      </c>
      <c r="Y266" s="1" t="s">
        <v>1609</v>
      </c>
      <c r="Z266" s="1" t="s">
        <v>981</v>
      </c>
      <c r="AA266" s="1" t="s">
        <v>1610</v>
      </c>
      <c r="AB266" s="1" t="s">
        <v>1611</v>
      </c>
      <c r="AC266" s="1" t="s">
        <v>1612</v>
      </c>
      <c r="AD266" s="1" t="s">
        <v>17</v>
      </c>
      <c r="AE266" s="1" t="s">
        <v>18</v>
      </c>
      <c r="AF266" s="1" t="s">
        <v>19</v>
      </c>
      <c r="AG266" s="1" t="s">
        <v>19</v>
      </c>
      <c r="AH266" s="1" t="s">
        <v>1611</v>
      </c>
    </row>
    <row r="267" spans="2:34" ht="15">
      <c r="B267" s="4" t="s">
        <v>1518</v>
      </c>
      <c r="C267" s="5">
        <v>43633</v>
      </c>
      <c r="D267" s="4" t="s">
        <v>21</v>
      </c>
      <c r="E267" s="4" t="s">
        <v>1613</v>
      </c>
      <c r="F267" s="4" t="s">
        <v>3</v>
      </c>
      <c r="G267" s="4" t="s">
        <v>4</v>
      </c>
      <c r="H267" s="4" t="s">
        <v>1614</v>
      </c>
      <c r="I267" s="5">
        <v>43630</v>
      </c>
      <c r="J267" s="6">
        <v>0.5208333333333334</v>
      </c>
      <c r="K267" s="5">
        <v>43634</v>
      </c>
      <c r="L267" s="4" t="s">
        <v>6</v>
      </c>
      <c r="M267" s="4"/>
      <c r="N267" s="4" t="s">
        <v>1557</v>
      </c>
      <c r="O267" s="4" t="s">
        <v>1574</v>
      </c>
      <c r="P267" s="4" t="s">
        <v>1559</v>
      </c>
      <c r="Q267" s="4" t="s">
        <v>4</v>
      </c>
      <c r="R267" s="4" t="s">
        <v>4</v>
      </c>
      <c r="S267" s="4" t="s">
        <v>10</v>
      </c>
      <c r="T267" s="4"/>
      <c r="U267" s="4"/>
      <c r="V267" s="4"/>
      <c r="W267" s="4" t="s">
        <v>27</v>
      </c>
      <c r="X267" s="4" t="s">
        <v>1615</v>
      </c>
      <c r="Y267" s="4" t="s">
        <v>1615</v>
      </c>
      <c r="Z267" s="4" t="s">
        <v>1594</v>
      </c>
      <c r="AA267" s="4" t="s">
        <v>1616</v>
      </c>
      <c r="AB267" s="4" t="s">
        <v>1617</v>
      </c>
      <c r="AC267" s="4" t="s">
        <v>1618</v>
      </c>
      <c r="AD267" s="4" t="s">
        <v>17</v>
      </c>
      <c r="AE267" s="4" t="s">
        <v>18</v>
      </c>
      <c r="AF267" s="4" t="s">
        <v>19</v>
      </c>
      <c r="AG267" s="4" t="s">
        <v>19</v>
      </c>
      <c r="AH267" s="4" t="s">
        <v>1617</v>
      </c>
    </row>
    <row r="268" spans="2:34" ht="15">
      <c r="B268" s="1" t="s">
        <v>1524</v>
      </c>
      <c r="C268" s="2">
        <v>43633</v>
      </c>
      <c r="D268" s="1" t="s">
        <v>1</v>
      </c>
      <c r="E268" s="1" t="s">
        <v>80</v>
      </c>
      <c r="F268" s="1" t="s">
        <v>3</v>
      </c>
      <c r="G268" s="1" t="s">
        <v>85</v>
      </c>
      <c r="H268" s="1" t="s">
        <v>1277</v>
      </c>
      <c r="I268" s="2">
        <v>43628</v>
      </c>
      <c r="J268" s="3">
        <v>0.6479166666666667</v>
      </c>
      <c r="K268" s="2">
        <v>43630</v>
      </c>
      <c r="L268" s="1" t="s">
        <v>6</v>
      </c>
      <c r="M268" s="1"/>
      <c r="N268" s="1" t="s">
        <v>1407</v>
      </c>
      <c r="O268" s="1" t="s">
        <v>1408</v>
      </c>
      <c r="P268" s="1" t="s">
        <v>1550</v>
      </c>
      <c r="Q268" s="1" t="s">
        <v>4</v>
      </c>
      <c r="R268" s="1" t="s">
        <v>4</v>
      </c>
      <c r="S268" s="1" t="s">
        <v>10</v>
      </c>
      <c r="T268" s="1"/>
      <c r="U268" s="1"/>
      <c r="V268" s="1"/>
      <c r="W268" s="1" t="s">
        <v>27</v>
      </c>
      <c r="X268" s="1" t="s">
        <v>1565</v>
      </c>
      <c r="Y268" s="1" t="s">
        <v>1565</v>
      </c>
      <c r="Z268" s="1" t="s">
        <v>1552</v>
      </c>
      <c r="AA268" s="1" t="s">
        <v>1566</v>
      </c>
      <c r="AB268" s="1" t="s">
        <v>1567</v>
      </c>
      <c r="AC268" s="1" t="s">
        <v>1568</v>
      </c>
      <c r="AD268" s="1" t="s">
        <v>17</v>
      </c>
      <c r="AE268" s="1" t="s">
        <v>18</v>
      </c>
      <c r="AF268" s="1" t="s">
        <v>19</v>
      </c>
      <c r="AG268" s="1" t="s">
        <v>19</v>
      </c>
      <c r="AH268" s="1" t="s">
        <v>1567</v>
      </c>
    </row>
    <row r="269" spans="2:34" ht="15">
      <c r="B269" s="4" t="s">
        <v>1524</v>
      </c>
      <c r="C269" s="5">
        <v>43633</v>
      </c>
      <c r="D269" s="4" t="s">
        <v>1</v>
      </c>
      <c r="E269" s="4" t="s">
        <v>100</v>
      </c>
      <c r="F269" s="4" t="s">
        <v>3</v>
      </c>
      <c r="G269" s="4" t="s">
        <v>4</v>
      </c>
      <c r="H269" s="4" t="s">
        <v>1277</v>
      </c>
      <c r="I269" s="5">
        <v>43628</v>
      </c>
      <c r="J269" s="6">
        <v>0.6479166666666667</v>
      </c>
      <c r="K269" s="5">
        <v>43635</v>
      </c>
      <c r="L269" s="4" t="s">
        <v>6</v>
      </c>
      <c r="M269" s="4"/>
      <c r="N269" s="4" t="s">
        <v>1407</v>
      </c>
      <c r="O269" s="4" t="s">
        <v>1408</v>
      </c>
      <c r="P269" s="4" t="s">
        <v>1550</v>
      </c>
      <c r="Q269" s="4" t="s">
        <v>4</v>
      </c>
      <c r="R269" s="4" t="s">
        <v>4</v>
      </c>
      <c r="S269" s="4" t="s">
        <v>10</v>
      </c>
      <c r="T269" s="4"/>
      <c r="U269" s="4"/>
      <c r="V269" s="4"/>
      <c r="W269" s="4" t="s">
        <v>27</v>
      </c>
      <c r="X269" s="4" t="s">
        <v>1619</v>
      </c>
      <c r="Y269" s="4" t="s">
        <v>1619</v>
      </c>
      <c r="Z269" s="4" t="s">
        <v>1552</v>
      </c>
      <c r="AA269" s="4" t="s">
        <v>1620</v>
      </c>
      <c r="AB269" s="4" t="s">
        <v>1621</v>
      </c>
      <c r="AC269" s="4" t="s">
        <v>1622</v>
      </c>
      <c r="AD269" s="4" t="s">
        <v>17</v>
      </c>
      <c r="AE269" s="4" t="s">
        <v>18</v>
      </c>
      <c r="AF269" s="4" t="s">
        <v>19</v>
      </c>
      <c r="AG269" s="4" t="s">
        <v>19</v>
      </c>
      <c r="AH269" s="4" t="s">
        <v>1621</v>
      </c>
    </row>
    <row r="270" spans="2:34" ht="15">
      <c r="B270" s="1" t="s">
        <v>1524</v>
      </c>
      <c r="C270" s="2">
        <v>43633</v>
      </c>
      <c r="D270" s="1" t="s">
        <v>1</v>
      </c>
      <c r="E270" s="1" t="s">
        <v>494</v>
      </c>
      <c r="F270" s="1" t="s">
        <v>3</v>
      </c>
      <c r="G270" s="1" t="s">
        <v>4</v>
      </c>
      <c r="H270" s="1" t="s">
        <v>1277</v>
      </c>
      <c r="I270" s="2">
        <v>43630</v>
      </c>
      <c r="J270" s="3">
        <v>0.6013888888888889</v>
      </c>
      <c r="K270" s="2">
        <v>43634</v>
      </c>
      <c r="L270" s="1" t="s">
        <v>6</v>
      </c>
      <c r="M270" s="1"/>
      <c r="N270" s="1" t="s">
        <v>1407</v>
      </c>
      <c r="O270" s="1" t="s">
        <v>1408</v>
      </c>
      <c r="P270" s="1" t="s">
        <v>1409</v>
      </c>
      <c r="Q270" s="1" t="s">
        <v>4</v>
      </c>
      <c r="R270" s="1" t="s">
        <v>4</v>
      </c>
      <c r="S270" s="1" t="s">
        <v>10</v>
      </c>
      <c r="T270" s="1"/>
      <c r="U270" s="1"/>
      <c r="V270" s="1"/>
      <c r="W270" s="1" t="s">
        <v>27</v>
      </c>
      <c r="X270" s="1" t="s">
        <v>1623</v>
      </c>
      <c r="Y270" s="1" t="s">
        <v>1623</v>
      </c>
      <c r="Z270" s="1" t="s">
        <v>981</v>
      </c>
      <c r="AA270" s="1" t="s">
        <v>1624</v>
      </c>
      <c r="AB270" s="1" t="s">
        <v>1625</v>
      </c>
      <c r="AC270" s="1" t="s">
        <v>1626</v>
      </c>
      <c r="AD270" s="1" t="s">
        <v>17</v>
      </c>
      <c r="AE270" s="1" t="s">
        <v>18</v>
      </c>
      <c r="AF270" s="1" t="s">
        <v>19</v>
      </c>
      <c r="AG270" s="1" t="s">
        <v>19</v>
      </c>
      <c r="AH270" s="1" t="s">
        <v>1625</v>
      </c>
    </row>
    <row r="271" spans="2:34" ht="15">
      <c r="B271" s="4" t="s">
        <v>1524</v>
      </c>
      <c r="C271" s="5">
        <v>43633</v>
      </c>
      <c r="D271" s="4" t="s">
        <v>1</v>
      </c>
      <c r="E271" s="4" t="s">
        <v>507</v>
      </c>
      <c r="F271" s="4" t="s">
        <v>3</v>
      </c>
      <c r="G271" s="4" t="s">
        <v>4</v>
      </c>
      <c r="H271" s="4" t="s">
        <v>23</v>
      </c>
      <c r="I271" s="5">
        <v>43630</v>
      </c>
      <c r="J271" s="6">
        <v>0.6127777777777778</v>
      </c>
      <c r="K271" s="5">
        <v>43634</v>
      </c>
      <c r="L271" s="4" t="s">
        <v>6</v>
      </c>
      <c r="M271" s="4"/>
      <c r="N271" s="4" t="s">
        <v>24</v>
      </c>
      <c r="O271" s="4" t="s">
        <v>25</v>
      </c>
      <c r="P271" s="4" t="s">
        <v>648</v>
      </c>
      <c r="Q271" s="4" t="s">
        <v>4</v>
      </c>
      <c r="R271" s="4" t="s">
        <v>4</v>
      </c>
      <c r="S271" s="4" t="s">
        <v>10</v>
      </c>
      <c r="T271" s="4"/>
      <c r="U271" s="4"/>
      <c r="V271" s="4"/>
      <c r="W271" s="4" t="s">
        <v>27</v>
      </c>
      <c r="X271" s="4" t="s">
        <v>1025</v>
      </c>
      <c r="Y271" s="4" t="s">
        <v>1025</v>
      </c>
      <c r="Z271" s="4" t="s">
        <v>87</v>
      </c>
      <c r="AA271" s="4" t="s">
        <v>1627</v>
      </c>
      <c r="AB271" s="4" t="s">
        <v>1628</v>
      </c>
      <c r="AC271" s="4" t="s">
        <v>1629</v>
      </c>
      <c r="AD271" s="4" t="s">
        <v>17</v>
      </c>
      <c r="AE271" s="4" t="s">
        <v>18</v>
      </c>
      <c r="AF271" s="4" t="s">
        <v>19</v>
      </c>
      <c r="AG271" s="4" t="s">
        <v>19</v>
      </c>
      <c r="AH271" s="4" t="s">
        <v>1628</v>
      </c>
    </row>
    <row r="272" spans="2:34" ht="15">
      <c r="B272" s="1" t="s">
        <v>1524</v>
      </c>
      <c r="C272" s="2">
        <v>43633</v>
      </c>
      <c r="D272" s="1" t="s">
        <v>1</v>
      </c>
      <c r="E272" s="1" t="s">
        <v>515</v>
      </c>
      <c r="F272" s="1" t="s">
        <v>3</v>
      </c>
      <c r="G272" s="1" t="s">
        <v>4</v>
      </c>
      <c r="H272" s="1" t="s">
        <v>119</v>
      </c>
      <c r="I272" s="2">
        <v>43630</v>
      </c>
      <c r="J272" s="3">
        <v>0.6243287037037037</v>
      </c>
      <c r="K272" s="2">
        <v>43634</v>
      </c>
      <c r="L272" s="1" t="s">
        <v>6</v>
      </c>
      <c r="M272" s="1"/>
      <c r="N272" s="1" t="s">
        <v>110</v>
      </c>
      <c r="O272" s="1" t="s">
        <v>111</v>
      </c>
      <c r="P272" s="1" t="s">
        <v>112</v>
      </c>
      <c r="Q272" s="1" t="s">
        <v>4</v>
      </c>
      <c r="R272" s="1" t="s">
        <v>4</v>
      </c>
      <c r="S272" s="1" t="s">
        <v>10</v>
      </c>
      <c r="T272" s="1"/>
      <c r="U272" s="1"/>
      <c r="V272" s="1"/>
      <c r="W272" s="1" t="s">
        <v>11</v>
      </c>
      <c r="X272" s="1" t="s">
        <v>1630</v>
      </c>
      <c r="Y272" s="1" t="s">
        <v>1630</v>
      </c>
      <c r="Z272" s="1" t="s">
        <v>1631</v>
      </c>
      <c r="AA272" s="1" t="s">
        <v>1632</v>
      </c>
      <c r="AB272" s="1" t="s">
        <v>1633</v>
      </c>
      <c r="AC272" s="1" t="s">
        <v>17</v>
      </c>
      <c r="AD272" s="1" t="s">
        <v>17</v>
      </c>
      <c r="AE272" s="1" t="s">
        <v>18</v>
      </c>
      <c r="AF272" s="1" t="s">
        <v>19</v>
      </c>
      <c r="AG272" s="1" t="s">
        <v>19</v>
      </c>
      <c r="AH272" s="1" t="s">
        <v>1633</v>
      </c>
    </row>
    <row r="273" spans="2:34" ht="15">
      <c r="B273" s="4" t="s">
        <v>153</v>
      </c>
      <c r="C273" s="5">
        <v>43633</v>
      </c>
      <c r="D273" s="4" t="s">
        <v>154</v>
      </c>
      <c r="E273" s="4" t="s">
        <v>1634</v>
      </c>
      <c r="F273" s="4" t="s">
        <v>3</v>
      </c>
      <c r="G273" s="4" t="s">
        <v>4</v>
      </c>
      <c r="H273" s="4" t="s">
        <v>119</v>
      </c>
      <c r="I273" s="5">
        <v>43630</v>
      </c>
      <c r="J273" s="6">
        <v>0.6243287037037037</v>
      </c>
      <c r="K273" s="5">
        <v>43634</v>
      </c>
      <c r="L273" s="4" t="s">
        <v>6</v>
      </c>
      <c r="M273" s="4"/>
      <c r="N273" s="4" t="s">
        <v>110</v>
      </c>
      <c r="O273" s="4" t="s">
        <v>111</v>
      </c>
      <c r="P273" s="4" t="s">
        <v>112</v>
      </c>
      <c r="Q273" s="4" t="s">
        <v>4</v>
      </c>
      <c r="R273" s="4" t="s">
        <v>4</v>
      </c>
      <c r="S273" s="4" t="s">
        <v>10</v>
      </c>
      <c r="T273" s="4"/>
      <c r="U273" s="4"/>
      <c r="V273" s="4"/>
      <c r="W273" s="4" t="s">
        <v>27</v>
      </c>
      <c r="X273" s="4" t="s">
        <v>1630</v>
      </c>
      <c r="Y273" s="4" t="s">
        <v>1630</v>
      </c>
      <c r="Z273" s="4" t="s">
        <v>1631</v>
      </c>
      <c r="AA273" s="4" t="s">
        <v>1632</v>
      </c>
      <c r="AB273" s="4" t="s">
        <v>1635</v>
      </c>
      <c r="AC273" s="4" t="s">
        <v>17</v>
      </c>
      <c r="AD273" s="4" t="s">
        <v>17</v>
      </c>
      <c r="AE273" s="4" t="s">
        <v>18</v>
      </c>
      <c r="AF273" s="4" t="s">
        <v>19</v>
      </c>
      <c r="AG273" s="4" t="s">
        <v>19</v>
      </c>
      <c r="AH273" s="4" t="s">
        <v>1635</v>
      </c>
    </row>
    <row r="274" spans="2:34" ht="15">
      <c r="B274" s="1" t="s">
        <v>1518</v>
      </c>
      <c r="C274" s="2">
        <v>43634</v>
      </c>
      <c r="D274" s="1" t="s">
        <v>21</v>
      </c>
      <c r="E274" s="1" t="s">
        <v>1636</v>
      </c>
      <c r="F274" s="1" t="s">
        <v>3</v>
      </c>
      <c r="G274" s="1" t="s">
        <v>4</v>
      </c>
      <c r="H274" s="1" t="s">
        <v>632</v>
      </c>
      <c r="I274" s="2">
        <v>43633</v>
      </c>
      <c r="J274" s="3">
        <v>0.6097800925925926</v>
      </c>
      <c r="K274" s="2">
        <v>43635</v>
      </c>
      <c r="L274" s="1" t="s">
        <v>6</v>
      </c>
      <c r="M274" s="1"/>
      <c r="N274" s="1" t="s">
        <v>1175</v>
      </c>
      <c r="O274" s="1" t="s">
        <v>1176</v>
      </c>
      <c r="P274" s="1" t="s">
        <v>1177</v>
      </c>
      <c r="Q274" s="1" t="s">
        <v>4</v>
      </c>
      <c r="R274" s="1" t="s">
        <v>4</v>
      </c>
      <c r="S274" s="1" t="s">
        <v>10</v>
      </c>
      <c r="T274" s="1"/>
      <c r="U274" s="1"/>
      <c r="V274" s="1"/>
      <c r="W274" s="1" t="s">
        <v>11</v>
      </c>
      <c r="X274" s="1" t="s">
        <v>1637</v>
      </c>
      <c r="Y274" s="1" t="s">
        <v>1637</v>
      </c>
      <c r="Z274" s="1" t="s">
        <v>1638</v>
      </c>
      <c r="AA274" s="1" t="s">
        <v>1639</v>
      </c>
      <c r="AB274" s="1" t="s">
        <v>1640</v>
      </c>
      <c r="AC274" s="1" t="s">
        <v>1641</v>
      </c>
      <c r="AD274" s="1" t="s">
        <v>17</v>
      </c>
      <c r="AE274" s="1" t="s">
        <v>18</v>
      </c>
      <c r="AF274" s="1" t="s">
        <v>19</v>
      </c>
      <c r="AG274" s="1" t="s">
        <v>19</v>
      </c>
      <c r="AH274" s="1" t="s">
        <v>1640</v>
      </c>
    </row>
    <row r="275" spans="2:34" ht="15">
      <c r="B275" s="4" t="s">
        <v>1524</v>
      </c>
      <c r="C275" s="5">
        <v>43635</v>
      </c>
      <c r="D275" s="4" t="s">
        <v>1</v>
      </c>
      <c r="E275" s="4" t="s">
        <v>103</v>
      </c>
      <c r="F275" s="4" t="s">
        <v>3</v>
      </c>
      <c r="G275" s="4" t="s">
        <v>4</v>
      </c>
      <c r="H275" s="4" t="s">
        <v>23</v>
      </c>
      <c r="I275" s="5">
        <v>43634</v>
      </c>
      <c r="J275" s="6">
        <v>0.6476736111111111</v>
      </c>
      <c r="K275" s="5">
        <v>43636</v>
      </c>
      <c r="L275" s="4" t="s">
        <v>6</v>
      </c>
      <c r="M275" s="4"/>
      <c r="N275" s="4" t="s">
        <v>24</v>
      </c>
      <c r="O275" s="4" t="s">
        <v>25</v>
      </c>
      <c r="P275" s="4" t="s">
        <v>648</v>
      </c>
      <c r="Q275" s="4" t="s">
        <v>4</v>
      </c>
      <c r="R275" s="4" t="s">
        <v>4</v>
      </c>
      <c r="S275" s="4" t="s">
        <v>10</v>
      </c>
      <c r="T275" s="4"/>
      <c r="U275" s="4"/>
      <c r="V275" s="4"/>
      <c r="W275" s="4" t="s">
        <v>27</v>
      </c>
      <c r="X275" s="4" t="s">
        <v>1025</v>
      </c>
      <c r="Y275" s="4" t="s">
        <v>1025</v>
      </c>
      <c r="Z275" s="4" t="s">
        <v>1642</v>
      </c>
      <c r="AA275" s="4" t="s">
        <v>1643</v>
      </c>
      <c r="AB275" s="4" t="s">
        <v>1644</v>
      </c>
      <c r="AC275" s="4" t="s">
        <v>1645</v>
      </c>
      <c r="AD275" s="4" t="s">
        <v>17</v>
      </c>
      <c r="AE275" s="4" t="s">
        <v>18</v>
      </c>
      <c r="AF275" s="4" t="s">
        <v>19</v>
      </c>
      <c r="AG275" s="4" t="s">
        <v>19</v>
      </c>
      <c r="AH275" s="4" t="s">
        <v>1644</v>
      </c>
    </row>
    <row r="276" spans="2:34" ht="15">
      <c r="B276" s="1" t="s">
        <v>1518</v>
      </c>
      <c r="C276" s="2">
        <v>43636</v>
      </c>
      <c r="D276" s="1" t="s">
        <v>21</v>
      </c>
      <c r="E276" s="1" t="s">
        <v>1646</v>
      </c>
      <c r="F276" s="1" t="s">
        <v>3</v>
      </c>
      <c r="G276" s="1" t="s">
        <v>4</v>
      </c>
      <c r="H276" s="1" t="s">
        <v>632</v>
      </c>
      <c r="I276" s="2">
        <v>43635</v>
      </c>
      <c r="J276" s="3">
        <v>0.5973611111111111</v>
      </c>
      <c r="K276" s="2">
        <v>43637</v>
      </c>
      <c r="L276" s="1" t="s">
        <v>6</v>
      </c>
      <c r="M276" s="1"/>
      <c r="N276" s="1" t="s">
        <v>712</v>
      </c>
      <c r="O276" s="1" t="s">
        <v>428</v>
      </c>
      <c r="P276" s="1" t="s">
        <v>713</v>
      </c>
      <c r="Q276" s="1" t="s">
        <v>4</v>
      </c>
      <c r="R276" s="1" t="s">
        <v>4</v>
      </c>
      <c r="S276" s="1" t="s">
        <v>10</v>
      </c>
      <c r="T276" s="1"/>
      <c r="U276" s="1"/>
      <c r="V276" s="1"/>
      <c r="W276" s="1" t="s">
        <v>11</v>
      </c>
      <c r="X276" s="1" t="s">
        <v>1647</v>
      </c>
      <c r="Y276" s="1" t="s">
        <v>1647</v>
      </c>
      <c r="Z276" s="1" t="s">
        <v>908</v>
      </c>
      <c r="AA276" s="1" t="s">
        <v>1648</v>
      </c>
      <c r="AB276" s="1" t="s">
        <v>1649</v>
      </c>
      <c r="AC276" s="1" t="s">
        <v>1650</v>
      </c>
      <c r="AD276" s="1" t="s">
        <v>17</v>
      </c>
      <c r="AE276" s="1" t="s">
        <v>18</v>
      </c>
      <c r="AF276" s="1" t="s">
        <v>19</v>
      </c>
      <c r="AG276" s="1" t="s">
        <v>19</v>
      </c>
      <c r="AH276" s="1" t="s">
        <v>1649</v>
      </c>
    </row>
    <row r="277" spans="2:34" ht="15">
      <c r="B277" s="4" t="s">
        <v>1524</v>
      </c>
      <c r="C277" s="5">
        <v>43636</v>
      </c>
      <c r="D277" s="4" t="s">
        <v>1</v>
      </c>
      <c r="E277" s="4" t="s">
        <v>567</v>
      </c>
      <c r="F277" s="4" t="s">
        <v>3</v>
      </c>
      <c r="G277" s="4" t="s">
        <v>4</v>
      </c>
      <c r="H277" s="4" t="s">
        <v>109</v>
      </c>
      <c r="I277" s="5">
        <v>43635</v>
      </c>
      <c r="J277" s="6">
        <v>0.4625</v>
      </c>
      <c r="K277" s="5">
        <v>43637</v>
      </c>
      <c r="L277" s="4" t="s">
        <v>6</v>
      </c>
      <c r="M277" s="4"/>
      <c r="N277" s="4" t="s">
        <v>24</v>
      </c>
      <c r="O277" s="4" t="s">
        <v>25</v>
      </c>
      <c r="P277" s="4" t="s">
        <v>648</v>
      </c>
      <c r="Q277" s="4" t="s">
        <v>4</v>
      </c>
      <c r="R277" s="4" t="s">
        <v>4</v>
      </c>
      <c r="S277" s="4" t="s">
        <v>10</v>
      </c>
      <c r="T277" s="4"/>
      <c r="U277" s="4"/>
      <c r="V277" s="4"/>
      <c r="W277" s="4" t="s">
        <v>27</v>
      </c>
      <c r="X277" s="4" t="s">
        <v>1651</v>
      </c>
      <c r="Y277" s="4" t="s">
        <v>1651</v>
      </c>
      <c r="Z277" s="4" t="s">
        <v>1652</v>
      </c>
      <c r="AA277" s="4" t="s">
        <v>1653</v>
      </c>
      <c r="AB277" s="4" t="s">
        <v>1654</v>
      </c>
      <c r="AC277" s="4" t="s">
        <v>1655</v>
      </c>
      <c r="AD277" s="4" t="s">
        <v>17</v>
      </c>
      <c r="AE277" s="4" t="s">
        <v>18</v>
      </c>
      <c r="AF277" s="4" t="s">
        <v>19</v>
      </c>
      <c r="AG277" s="4" t="s">
        <v>19</v>
      </c>
      <c r="AH277" s="4" t="s">
        <v>1654</v>
      </c>
    </row>
    <row r="278" spans="2:34" ht="15">
      <c r="B278" s="1" t="s">
        <v>153</v>
      </c>
      <c r="C278" s="2">
        <v>43636</v>
      </c>
      <c r="D278" s="1" t="s">
        <v>154</v>
      </c>
      <c r="E278" s="1" t="s">
        <v>1656</v>
      </c>
      <c r="F278" s="1" t="s">
        <v>3</v>
      </c>
      <c r="G278" s="1" t="s">
        <v>4</v>
      </c>
      <c r="H278" s="1" t="s">
        <v>90</v>
      </c>
      <c r="I278" s="2">
        <v>43636</v>
      </c>
      <c r="J278" s="3">
        <v>0.3922453703703704</v>
      </c>
      <c r="K278" s="2">
        <v>43640</v>
      </c>
      <c r="L278" s="1" t="s">
        <v>6</v>
      </c>
      <c r="M278" s="1"/>
      <c r="N278" s="1" t="s">
        <v>260</v>
      </c>
      <c r="O278" s="1" t="s">
        <v>261</v>
      </c>
      <c r="P278" s="1" t="s">
        <v>262</v>
      </c>
      <c r="Q278" s="1" t="s">
        <v>4</v>
      </c>
      <c r="R278" s="1" t="s">
        <v>4</v>
      </c>
      <c r="S278" s="1" t="s">
        <v>10</v>
      </c>
      <c r="T278" s="1"/>
      <c r="U278" s="1"/>
      <c r="V278" s="1"/>
      <c r="W278" s="1" t="s">
        <v>27</v>
      </c>
      <c r="X278" s="1" t="s">
        <v>821</v>
      </c>
      <c r="Y278" s="1" t="s">
        <v>821</v>
      </c>
      <c r="Z278" s="1" t="s">
        <v>1657</v>
      </c>
      <c r="AA278" s="1" t="s">
        <v>1658</v>
      </c>
      <c r="AB278" s="1" t="s">
        <v>1659</v>
      </c>
      <c r="AC278" s="1" t="s">
        <v>1660</v>
      </c>
      <c r="AD278" s="1" t="s">
        <v>17</v>
      </c>
      <c r="AE278" s="1" t="s">
        <v>18</v>
      </c>
      <c r="AF278" s="1" t="s">
        <v>19</v>
      </c>
      <c r="AG278" s="1" t="s">
        <v>19</v>
      </c>
      <c r="AH278" s="1" t="s">
        <v>1659</v>
      </c>
    </row>
    <row r="279" spans="2:34" ht="15">
      <c r="B279" s="4" t="s">
        <v>1524</v>
      </c>
      <c r="C279" s="5">
        <v>43637</v>
      </c>
      <c r="D279" s="4" t="s">
        <v>1</v>
      </c>
      <c r="E279" s="4" t="s">
        <v>574</v>
      </c>
      <c r="F279" s="4" t="s">
        <v>3</v>
      </c>
      <c r="G279" s="4" t="s">
        <v>4</v>
      </c>
      <c r="H279" s="4" t="s">
        <v>119</v>
      </c>
      <c r="I279" s="5">
        <v>43636</v>
      </c>
      <c r="J279" s="6"/>
      <c r="K279" s="5">
        <v>43640</v>
      </c>
      <c r="L279" s="4" t="s">
        <v>6</v>
      </c>
      <c r="M279" s="4"/>
      <c r="N279" s="4" t="s">
        <v>110</v>
      </c>
      <c r="O279" s="4" t="s">
        <v>1661</v>
      </c>
      <c r="P279" s="4" t="s">
        <v>112</v>
      </c>
      <c r="Q279" s="4" t="s">
        <v>4</v>
      </c>
      <c r="R279" s="4" t="s">
        <v>4</v>
      </c>
      <c r="S279" s="4" t="s">
        <v>10</v>
      </c>
      <c r="T279" s="4"/>
      <c r="U279" s="4"/>
      <c r="V279" s="4"/>
      <c r="W279" s="4" t="s">
        <v>11</v>
      </c>
      <c r="X279" s="4" t="s">
        <v>1662</v>
      </c>
      <c r="Y279" s="4" t="s">
        <v>1662</v>
      </c>
      <c r="Z279" s="4" t="s">
        <v>121</v>
      </c>
      <c r="AA279" s="4" t="s">
        <v>1663</v>
      </c>
      <c r="AB279" s="4" t="s">
        <v>1664</v>
      </c>
      <c r="AC279" s="4" t="s">
        <v>1665</v>
      </c>
      <c r="AD279" s="4" t="s">
        <v>17</v>
      </c>
      <c r="AE279" s="4" t="s">
        <v>18</v>
      </c>
      <c r="AF279" s="4" t="s">
        <v>19</v>
      </c>
      <c r="AG279" s="4" t="s">
        <v>19</v>
      </c>
      <c r="AH279" s="4" t="s">
        <v>1664</v>
      </c>
    </row>
    <row r="280" spans="2:34" ht="15">
      <c r="B280" s="1" t="s">
        <v>153</v>
      </c>
      <c r="C280" s="2">
        <v>43637</v>
      </c>
      <c r="D280" s="1" t="s">
        <v>154</v>
      </c>
      <c r="E280" s="1" t="s">
        <v>1666</v>
      </c>
      <c r="F280" s="1" t="s">
        <v>3</v>
      </c>
      <c r="G280" s="1" t="s">
        <v>4</v>
      </c>
      <c r="H280" s="1" t="s">
        <v>119</v>
      </c>
      <c r="I280" s="2">
        <v>43636</v>
      </c>
      <c r="J280" s="3">
        <v>0.6808564814814815</v>
      </c>
      <c r="K280" s="2">
        <v>43640</v>
      </c>
      <c r="L280" s="1" t="s">
        <v>6</v>
      </c>
      <c r="M280" s="1"/>
      <c r="N280" s="1" t="s">
        <v>450</v>
      </c>
      <c r="O280" s="1" t="s">
        <v>451</v>
      </c>
      <c r="P280" s="1" t="s">
        <v>452</v>
      </c>
      <c r="Q280" s="1" t="s">
        <v>4</v>
      </c>
      <c r="R280" s="1" t="s">
        <v>4</v>
      </c>
      <c r="S280" s="1" t="s">
        <v>10</v>
      </c>
      <c r="T280" s="1"/>
      <c r="U280" s="1"/>
      <c r="V280" s="1"/>
      <c r="W280" s="1" t="s">
        <v>27</v>
      </c>
      <c r="X280" s="1" t="s">
        <v>1667</v>
      </c>
      <c r="Y280" s="1" t="s">
        <v>1667</v>
      </c>
      <c r="Z280" s="1" t="s">
        <v>1668</v>
      </c>
      <c r="AA280" s="1" t="s">
        <v>1669</v>
      </c>
      <c r="AB280" s="1" t="s">
        <v>1670</v>
      </c>
      <c r="AC280" s="1" t="s">
        <v>1671</v>
      </c>
      <c r="AD280" s="1" t="s">
        <v>17</v>
      </c>
      <c r="AE280" s="1" t="s">
        <v>18</v>
      </c>
      <c r="AF280" s="1" t="s">
        <v>19</v>
      </c>
      <c r="AG280" s="1" t="s">
        <v>19</v>
      </c>
      <c r="AH280" s="1" t="s">
        <v>1670</v>
      </c>
    </row>
    <row r="281" spans="2:34" ht="15">
      <c r="B281" s="4" t="s">
        <v>1518</v>
      </c>
      <c r="C281" s="5">
        <v>43641</v>
      </c>
      <c r="D281" s="4" t="s">
        <v>21</v>
      </c>
      <c r="E281" s="4" t="s">
        <v>1672</v>
      </c>
      <c r="F281" s="4" t="s">
        <v>3</v>
      </c>
      <c r="G281" s="4" t="s">
        <v>4</v>
      </c>
      <c r="H281" s="4" t="s">
        <v>632</v>
      </c>
      <c r="I281" s="5">
        <v>43640</v>
      </c>
      <c r="J281" s="6">
        <v>0.6887268518518519</v>
      </c>
      <c r="K281" s="5">
        <v>43642</v>
      </c>
      <c r="L281" s="4" t="s">
        <v>6</v>
      </c>
      <c r="M281" s="4"/>
      <c r="N281" s="4" t="s">
        <v>712</v>
      </c>
      <c r="O281" s="4" t="s">
        <v>428</v>
      </c>
      <c r="P281" s="4" t="s">
        <v>713</v>
      </c>
      <c r="Q281" s="4" t="s">
        <v>4</v>
      </c>
      <c r="R281" s="4" t="s">
        <v>4</v>
      </c>
      <c r="S281" s="4" t="s">
        <v>10</v>
      </c>
      <c r="T281" s="4"/>
      <c r="U281" s="4"/>
      <c r="V281" s="4"/>
      <c r="W281" s="4" t="s">
        <v>11</v>
      </c>
      <c r="X281" s="4" t="s">
        <v>197</v>
      </c>
      <c r="Y281" s="4" t="s">
        <v>197</v>
      </c>
      <c r="Z281" s="4" t="s">
        <v>114</v>
      </c>
      <c r="AA281" s="4" t="s">
        <v>1165</v>
      </c>
      <c r="AB281" s="4" t="s">
        <v>1166</v>
      </c>
      <c r="AC281" s="4" t="s">
        <v>1167</v>
      </c>
      <c r="AD281" s="4" t="s">
        <v>17</v>
      </c>
      <c r="AE281" s="4" t="s">
        <v>18</v>
      </c>
      <c r="AF281" s="4" t="s">
        <v>19</v>
      </c>
      <c r="AG281" s="4" t="s">
        <v>19</v>
      </c>
      <c r="AH281" s="4" t="s">
        <v>1166</v>
      </c>
    </row>
    <row r="282" spans="2:34" ht="15">
      <c r="B282" s="1" t="s">
        <v>1518</v>
      </c>
      <c r="C282" s="2">
        <v>43643</v>
      </c>
      <c r="D282" s="1" t="s">
        <v>21</v>
      </c>
      <c r="E282" s="1" t="s">
        <v>1673</v>
      </c>
      <c r="F282" s="1" t="s">
        <v>3</v>
      </c>
      <c r="G282" s="1" t="s">
        <v>4</v>
      </c>
      <c r="H282" s="1" t="s">
        <v>632</v>
      </c>
      <c r="I282" s="2">
        <v>43642</v>
      </c>
      <c r="J282" s="3">
        <v>0.6244791666666667</v>
      </c>
      <c r="K282" s="2">
        <v>43644</v>
      </c>
      <c r="L282" s="1" t="s">
        <v>6</v>
      </c>
      <c r="M282" s="1"/>
      <c r="N282" s="1" t="s">
        <v>712</v>
      </c>
      <c r="O282" s="1" t="s">
        <v>428</v>
      </c>
      <c r="P282" s="1" t="s">
        <v>713</v>
      </c>
      <c r="Q282" s="1" t="s">
        <v>4</v>
      </c>
      <c r="R282" s="1" t="s">
        <v>4</v>
      </c>
      <c r="S282" s="1" t="s">
        <v>10</v>
      </c>
      <c r="T282" s="1"/>
      <c r="U282" s="1"/>
      <c r="V282" s="1"/>
      <c r="W282" s="1" t="s">
        <v>11</v>
      </c>
      <c r="X282" s="1" t="s">
        <v>319</v>
      </c>
      <c r="Y282" s="1" t="s">
        <v>319</v>
      </c>
      <c r="Z282" s="1" t="s">
        <v>121</v>
      </c>
      <c r="AA282" s="1" t="s">
        <v>1674</v>
      </c>
      <c r="AB282" s="1" t="s">
        <v>1675</v>
      </c>
      <c r="AC282" s="1" t="s">
        <v>1676</v>
      </c>
      <c r="AD282" s="1" t="s">
        <v>17</v>
      </c>
      <c r="AE282" s="1" t="s">
        <v>18</v>
      </c>
      <c r="AF282" s="1" t="s">
        <v>19</v>
      </c>
      <c r="AG282" s="1" t="s">
        <v>19</v>
      </c>
      <c r="AH282" s="1" t="s">
        <v>1675</v>
      </c>
    </row>
    <row r="283" spans="2:34" ht="15">
      <c r="B283" s="4" t="s">
        <v>1518</v>
      </c>
      <c r="C283" s="5">
        <v>43643</v>
      </c>
      <c r="D283" s="4" t="s">
        <v>21</v>
      </c>
      <c r="E283" s="4" t="s">
        <v>1677</v>
      </c>
      <c r="F283" s="4" t="s">
        <v>3</v>
      </c>
      <c r="G283" s="4" t="s">
        <v>4</v>
      </c>
      <c r="H283" s="4" t="s">
        <v>632</v>
      </c>
      <c r="I283" s="5">
        <v>43642</v>
      </c>
      <c r="J283" s="6">
        <v>0.6906712962962963</v>
      </c>
      <c r="K283" s="5">
        <v>43644</v>
      </c>
      <c r="L283" s="4" t="s">
        <v>6</v>
      </c>
      <c r="M283" s="4"/>
      <c r="N283" s="4" t="s">
        <v>712</v>
      </c>
      <c r="O283" s="4" t="s">
        <v>428</v>
      </c>
      <c r="P283" s="4" t="s">
        <v>713</v>
      </c>
      <c r="Q283" s="4" t="s">
        <v>4</v>
      </c>
      <c r="R283" s="4" t="s">
        <v>4</v>
      </c>
      <c r="S283" s="4" t="s">
        <v>10</v>
      </c>
      <c r="T283" s="4"/>
      <c r="U283" s="4"/>
      <c r="V283" s="4"/>
      <c r="W283" s="4" t="s">
        <v>11</v>
      </c>
      <c r="X283" s="4" t="s">
        <v>319</v>
      </c>
      <c r="Y283" s="4" t="s">
        <v>319</v>
      </c>
      <c r="Z283" s="4" t="s">
        <v>121</v>
      </c>
      <c r="AA283" s="4" t="s">
        <v>1674</v>
      </c>
      <c r="AB283" s="4" t="s">
        <v>1675</v>
      </c>
      <c r="AC283" s="4" t="s">
        <v>1676</v>
      </c>
      <c r="AD283" s="4" t="s">
        <v>17</v>
      </c>
      <c r="AE283" s="4" t="s">
        <v>18</v>
      </c>
      <c r="AF283" s="4" t="s">
        <v>19</v>
      </c>
      <c r="AG283" s="4" t="s">
        <v>19</v>
      </c>
      <c r="AH283" s="4" t="s">
        <v>1675</v>
      </c>
    </row>
    <row r="284" spans="2:34" ht="15">
      <c r="B284" s="1" t="s">
        <v>1518</v>
      </c>
      <c r="C284" s="2">
        <v>43643</v>
      </c>
      <c r="D284" s="1" t="s">
        <v>21</v>
      </c>
      <c r="E284" s="1" t="s">
        <v>1678</v>
      </c>
      <c r="F284" s="1" t="s">
        <v>3</v>
      </c>
      <c r="G284" s="1" t="s">
        <v>4</v>
      </c>
      <c r="H284" s="1" t="s">
        <v>632</v>
      </c>
      <c r="I284" s="2">
        <v>43643</v>
      </c>
      <c r="J284" s="3">
        <v>0.4002662037037037</v>
      </c>
      <c r="K284" s="2">
        <v>43647</v>
      </c>
      <c r="L284" s="1" t="s">
        <v>6</v>
      </c>
      <c r="M284" s="1"/>
      <c r="N284" s="1" t="s">
        <v>827</v>
      </c>
      <c r="O284" s="1" t="s">
        <v>359</v>
      </c>
      <c r="P284" s="1" t="s">
        <v>360</v>
      </c>
      <c r="Q284" s="1" t="s">
        <v>4</v>
      </c>
      <c r="R284" s="1" t="s">
        <v>4</v>
      </c>
      <c r="S284" s="1" t="s">
        <v>10</v>
      </c>
      <c r="T284" s="1"/>
      <c r="U284" s="1"/>
      <c r="V284" s="1"/>
      <c r="W284" s="1" t="s">
        <v>11</v>
      </c>
      <c r="X284" s="1" t="s">
        <v>1679</v>
      </c>
      <c r="Y284" s="1" t="s">
        <v>1679</v>
      </c>
      <c r="Z284" s="1" t="s">
        <v>1680</v>
      </c>
      <c r="AA284" s="1" t="s">
        <v>1681</v>
      </c>
      <c r="AB284" s="1" t="s">
        <v>1682</v>
      </c>
      <c r="AC284" s="1" t="s">
        <v>1683</v>
      </c>
      <c r="AD284" s="1" t="s">
        <v>17</v>
      </c>
      <c r="AE284" s="1" t="s">
        <v>18</v>
      </c>
      <c r="AF284" s="1" t="s">
        <v>19</v>
      </c>
      <c r="AG284" s="1" t="s">
        <v>19</v>
      </c>
      <c r="AH284" s="1" t="s">
        <v>1682</v>
      </c>
    </row>
    <row r="285" spans="2:34" ht="15">
      <c r="B285" s="4" t="s">
        <v>1524</v>
      </c>
      <c r="C285" s="5">
        <v>43643</v>
      </c>
      <c r="D285" s="4" t="s">
        <v>1</v>
      </c>
      <c r="E285" s="4" t="s">
        <v>660</v>
      </c>
      <c r="F285" s="4" t="s">
        <v>3</v>
      </c>
      <c r="G285" s="4" t="s">
        <v>4</v>
      </c>
      <c r="H285" s="4" t="s">
        <v>632</v>
      </c>
      <c r="I285" s="5">
        <v>43643</v>
      </c>
      <c r="J285" s="6">
        <v>0.4002662037037037</v>
      </c>
      <c r="K285" s="5">
        <v>43647</v>
      </c>
      <c r="L285" s="4" t="s">
        <v>6</v>
      </c>
      <c r="M285" s="4"/>
      <c r="N285" s="4" t="s">
        <v>827</v>
      </c>
      <c r="O285" s="4" t="s">
        <v>359</v>
      </c>
      <c r="P285" s="4" t="s">
        <v>360</v>
      </c>
      <c r="Q285" s="4" t="s">
        <v>4</v>
      </c>
      <c r="R285" s="4" t="s">
        <v>4</v>
      </c>
      <c r="S285" s="4" t="s">
        <v>10</v>
      </c>
      <c r="T285" s="4"/>
      <c r="U285" s="4"/>
      <c r="V285" s="4"/>
      <c r="W285" s="4" t="s">
        <v>11</v>
      </c>
      <c r="X285" s="4" t="s">
        <v>1684</v>
      </c>
      <c r="Y285" s="4" t="s">
        <v>1684</v>
      </c>
      <c r="Z285" s="4" t="s">
        <v>1680</v>
      </c>
      <c r="AA285" s="4" t="s">
        <v>1685</v>
      </c>
      <c r="AB285" s="4" t="s">
        <v>1686</v>
      </c>
      <c r="AC285" s="4" t="s">
        <v>1687</v>
      </c>
      <c r="AD285" s="4" t="s">
        <v>17</v>
      </c>
      <c r="AE285" s="4" t="s">
        <v>18</v>
      </c>
      <c r="AF285" s="4" t="s">
        <v>19</v>
      </c>
      <c r="AG285" s="4" t="s">
        <v>19</v>
      </c>
      <c r="AH285" s="4" t="s">
        <v>1686</v>
      </c>
    </row>
    <row r="286" spans="2:34" ht="15">
      <c r="B286" s="1" t="s">
        <v>153</v>
      </c>
      <c r="C286" s="2">
        <v>43643</v>
      </c>
      <c r="D286" s="1" t="s">
        <v>154</v>
      </c>
      <c r="E286" s="1" t="s">
        <v>1688</v>
      </c>
      <c r="F286" s="1" t="s">
        <v>3</v>
      </c>
      <c r="G286" s="1" t="s">
        <v>4</v>
      </c>
      <c r="H286" s="1" t="s">
        <v>632</v>
      </c>
      <c r="I286" s="2">
        <v>43643</v>
      </c>
      <c r="J286" s="3">
        <v>0.4002662037037037</v>
      </c>
      <c r="K286" s="2">
        <v>43647</v>
      </c>
      <c r="L286" s="1" t="s">
        <v>6</v>
      </c>
      <c r="M286" s="1"/>
      <c r="N286" s="1" t="s">
        <v>827</v>
      </c>
      <c r="O286" s="1" t="s">
        <v>359</v>
      </c>
      <c r="P286" s="1" t="s">
        <v>360</v>
      </c>
      <c r="Q286" s="1" t="s">
        <v>4</v>
      </c>
      <c r="R286" s="1" t="s">
        <v>4</v>
      </c>
      <c r="S286" s="1" t="s">
        <v>10</v>
      </c>
      <c r="T286" s="1"/>
      <c r="U286" s="1"/>
      <c r="V286" s="1"/>
      <c r="W286" s="1" t="s">
        <v>11</v>
      </c>
      <c r="X286" s="1" t="s">
        <v>1689</v>
      </c>
      <c r="Y286" s="1" t="s">
        <v>1689</v>
      </c>
      <c r="Z286" s="1" t="s">
        <v>1680</v>
      </c>
      <c r="AA286" s="1" t="s">
        <v>1690</v>
      </c>
      <c r="AB286" s="1" t="s">
        <v>1691</v>
      </c>
      <c r="AC286" s="1" t="s">
        <v>1692</v>
      </c>
      <c r="AD286" s="1" t="s">
        <v>17</v>
      </c>
      <c r="AE286" s="1" t="s">
        <v>18</v>
      </c>
      <c r="AF286" s="1" t="s">
        <v>19</v>
      </c>
      <c r="AG286" s="1" t="s">
        <v>19</v>
      </c>
      <c r="AH286" s="1" t="s">
        <v>1691</v>
      </c>
    </row>
    <row r="287" spans="2:34" ht="15">
      <c r="B287" s="4" t="s">
        <v>1524</v>
      </c>
      <c r="C287" s="5">
        <v>43644</v>
      </c>
      <c r="D287" s="4" t="s">
        <v>1</v>
      </c>
      <c r="E287" s="4" t="s">
        <v>850</v>
      </c>
      <c r="F287" s="4" t="s">
        <v>3</v>
      </c>
      <c r="G287" s="4" t="s">
        <v>4</v>
      </c>
      <c r="H287" s="4" t="s">
        <v>325</v>
      </c>
      <c r="I287" s="5">
        <v>43644</v>
      </c>
      <c r="J287" s="6">
        <v>0.44583333333333336</v>
      </c>
      <c r="K287" s="5">
        <v>43648</v>
      </c>
      <c r="L287" s="4" t="s">
        <v>6</v>
      </c>
      <c r="M287" s="4"/>
      <c r="N287" s="4" t="s">
        <v>250</v>
      </c>
      <c r="O287" s="4" t="s">
        <v>251</v>
      </c>
      <c r="P287" s="4" t="s">
        <v>252</v>
      </c>
      <c r="Q287" s="4" t="s">
        <v>4</v>
      </c>
      <c r="R287" s="4" t="s">
        <v>4</v>
      </c>
      <c r="S287" s="4" t="s">
        <v>10</v>
      </c>
      <c r="T287" s="4"/>
      <c r="U287" s="4"/>
      <c r="V287" s="4"/>
      <c r="W287" s="4" t="s">
        <v>11</v>
      </c>
      <c r="X287" s="4" t="s">
        <v>1693</v>
      </c>
      <c r="Y287" s="4" t="s">
        <v>1693</v>
      </c>
      <c r="Z287" s="4" t="s">
        <v>1694</v>
      </c>
      <c r="AA287" s="4" t="s">
        <v>1695</v>
      </c>
      <c r="AB287" s="4" t="s">
        <v>1696</v>
      </c>
      <c r="AC287" s="4" t="s">
        <v>1697</v>
      </c>
      <c r="AD287" s="4" t="s">
        <v>17</v>
      </c>
      <c r="AE287" s="4" t="s">
        <v>18</v>
      </c>
      <c r="AF287" s="4" t="s">
        <v>19</v>
      </c>
      <c r="AG287" s="4" t="s">
        <v>19</v>
      </c>
      <c r="AH287" s="4" t="s">
        <v>1696</v>
      </c>
    </row>
    <row r="288" spans="2:34" ht="15">
      <c r="B288" s="1" t="s">
        <v>153</v>
      </c>
      <c r="C288" s="2">
        <v>43644</v>
      </c>
      <c r="D288" s="1" t="s">
        <v>154</v>
      </c>
      <c r="E288" s="1" t="s">
        <v>1698</v>
      </c>
      <c r="F288" s="1" t="s">
        <v>3</v>
      </c>
      <c r="G288" s="1" t="s">
        <v>4</v>
      </c>
      <c r="H288" s="1" t="s">
        <v>325</v>
      </c>
      <c r="I288" s="2">
        <v>43644</v>
      </c>
      <c r="J288" s="3">
        <v>0.44583333333333336</v>
      </c>
      <c r="K288" s="2">
        <v>43648</v>
      </c>
      <c r="L288" s="1" t="s">
        <v>6</v>
      </c>
      <c r="M288" s="1"/>
      <c r="N288" s="1" t="s">
        <v>250</v>
      </c>
      <c r="O288" s="1" t="s">
        <v>251</v>
      </c>
      <c r="P288" s="1" t="s">
        <v>252</v>
      </c>
      <c r="Q288" s="1" t="s">
        <v>4</v>
      </c>
      <c r="R288" s="1" t="s">
        <v>4</v>
      </c>
      <c r="S288" s="1" t="s">
        <v>10</v>
      </c>
      <c r="T288" s="1"/>
      <c r="U288" s="1"/>
      <c r="V288" s="1"/>
      <c r="W288" s="1" t="s">
        <v>11</v>
      </c>
      <c r="X288" s="1" t="s">
        <v>1699</v>
      </c>
      <c r="Y288" s="1" t="s">
        <v>1699</v>
      </c>
      <c r="Z288" s="1" t="s">
        <v>1694</v>
      </c>
      <c r="AA288" s="1" t="s">
        <v>1700</v>
      </c>
      <c r="AB288" s="1" t="s">
        <v>1701</v>
      </c>
      <c r="AC288" s="1" t="s">
        <v>1702</v>
      </c>
      <c r="AD288" s="1" t="s">
        <v>17</v>
      </c>
      <c r="AE288" s="1" t="s">
        <v>18</v>
      </c>
      <c r="AF288" s="1" t="s">
        <v>19</v>
      </c>
      <c r="AG288" s="1" t="s">
        <v>19</v>
      </c>
      <c r="AH288" s="1" t="s">
        <v>1701</v>
      </c>
    </row>
    <row r="289" spans="2:34" ht="15">
      <c r="B289" s="4" t="s">
        <v>1524</v>
      </c>
      <c r="C289" s="5">
        <v>43642</v>
      </c>
      <c r="D289" s="4" t="s">
        <v>1</v>
      </c>
      <c r="E289" s="4" t="s">
        <v>614</v>
      </c>
      <c r="F289" s="4" t="s">
        <v>3</v>
      </c>
      <c r="G289" s="4" t="s">
        <v>4</v>
      </c>
      <c r="H289" s="4" t="s">
        <v>119</v>
      </c>
      <c r="I289" s="5">
        <v>43641</v>
      </c>
      <c r="J289" s="6">
        <v>0.5622685185185186</v>
      </c>
      <c r="K289" s="5">
        <v>43643</v>
      </c>
      <c r="L289" s="4" t="s">
        <v>6</v>
      </c>
      <c r="M289" s="4"/>
      <c r="N289" s="4" t="s">
        <v>110</v>
      </c>
      <c r="O289" s="4" t="s">
        <v>111</v>
      </c>
      <c r="P289" s="4" t="s">
        <v>112</v>
      </c>
      <c r="Q289" s="4" t="s">
        <v>4</v>
      </c>
      <c r="R289" s="4" t="s">
        <v>4</v>
      </c>
      <c r="S289" s="4" t="s">
        <v>4</v>
      </c>
      <c r="T289" s="4"/>
      <c r="U289" s="4"/>
      <c r="V289" s="4"/>
      <c r="W289" s="4" t="s">
        <v>11</v>
      </c>
      <c r="X289" s="4" t="s">
        <v>1703</v>
      </c>
      <c r="Y289" s="4" t="s">
        <v>1703</v>
      </c>
      <c r="Z289" s="4" t="s">
        <v>121</v>
      </c>
      <c r="AA289" s="4" t="s">
        <v>1704</v>
      </c>
      <c r="AB289" s="4" t="s">
        <v>1705</v>
      </c>
      <c r="AC289" s="4" t="s">
        <v>1706</v>
      </c>
      <c r="AD289" s="4" t="s">
        <v>17</v>
      </c>
      <c r="AE289" s="4" t="s">
        <v>18</v>
      </c>
      <c r="AF289" s="4" t="s">
        <v>19</v>
      </c>
      <c r="AG289" s="4" t="s">
        <v>19</v>
      </c>
      <c r="AH289" s="4" t="s">
        <v>1705</v>
      </c>
    </row>
    <row r="290" spans="2:34" ht="15">
      <c r="B290" s="1" t="s">
        <v>1524</v>
      </c>
      <c r="C290" s="2">
        <v>43642</v>
      </c>
      <c r="D290" s="1" t="s">
        <v>1</v>
      </c>
      <c r="E290" s="1" t="s">
        <v>620</v>
      </c>
      <c r="F290" s="1" t="s">
        <v>3</v>
      </c>
      <c r="G290" s="1" t="s">
        <v>4</v>
      </c>
      <c r="H290" s="1" t="s">
        <v>119</v>
      </c>
      <c r="I290" s="2">
        <v>43642</v>
      </c>
      <c r="J290" s="3">
        <v>0.3552199074074074</v>
      </c>
      <c r="K290" s="2">
        <v>43644</v>
      </c>
      <c r="L290" s="1" t="s">
        <v>6</v>
      </c>
      <c r="M290" s="1"/>
      <c r="N290" s="1" t="s">
        <v>110</v>
      </c>
      <c r="O290" s="1" t="s">
        <v>111</v>
      </c>
      <c r="P290" s="1" t="s">
        <v>112</v>
      </c>
      <c r="Q290" s="1" t="s">
        <v>4</v>
      </c>
      <c r="R290" s="1" t="s">
        <v>4</v>
      </c>
      <c r="S290" s="1" t="s">
        <v>4</v>
      </c>
      <c r="T290" s="1"/>
      <c r="U290" s="1"/>
      <c r="V290" s="1"/>
      <c r="W290" s="1" t="s">
        <v>11</v>
      </c>
      <c r="X290" s="1" t="s">
        <v>1707</v>
      </c>
      <c r="Y290" s="1" t="s">
        <v>1707</v>
      </c>
      <c r="Z290" s="1" t="s">
        <v>347</v>
      </c>
      <c r="AA290" s="1" t="s">
        <v>1708</v>
      </c>
      <c r="AB290" s="1" t="s">
        <v>1709</v>
      </c>
      <c r="AC290" s="1" t="s">
        <v>1710</v>
      </c>
      <c r="AD290" s="1" t="s">
        <v>17</v>
      </c>
      <c r="AE290" s="1" t="s">
        <v>18</v>
      </c>
      <c r="AF290" s="1" t="s">
        <v>19</v>
      </c>
      <c r="AG290" s="1" t="s">
        <v>19</v>
      </c>
      <c r="AH290" s="1" t="s">
        <v>1709</v>
      </c>
    </row>
    <row r="291" spans="2:34" ht="15">
      <c r="B291" s="4" t="s">
        <v>0</v>
      </c>
      <c r="C291" s="5">
        <v>43616</v>
      </c>
      <c r="D291" s="4" t="s">
        <v>1</v>
      </c>
      <c r="E291" s="4" t="s">
        <v>1314</v>
      </c>
      <c r="F291" s="4" t="s">
        <v>3</v>
      </c>
      <c r="G291" s="4" t="s">
        <v>4</v>
      </c>
      <c r="H291" s="4" t="s">
        <v>119</v>
      </c>
      <c r="I291" s="5">
        <v>43616</v>
      </c>
      <c r="J291" s="6">
        <v>0.3701388888888889</v>
      </c>
      <c r="K291" s="5">
        <v>43620</v>
      </c>
      <c r="L291" s="4" t="s">
        <v>6</v>
      </c>
      <c r="M291" s="4"/>
      <c r="N291" s="4" t="s">
        <v>194</v>
      </c>
      <c r="O291" s="4" t="s">
        <v>195</v>
      </c>
      <c r="P291" s="4" t="s">
        <v>196</v>
      </c>
      <c r="Q291" s="4" t="s">
        <v>4</v>
      </c>
      <c r="R291" s="4" t="s">
        <v>4</v>
      </c>
      <c r="S291" s="4" t="s">
        <v>10</v>
      </c>
      <c r="T291" s="4"/>
      <c r="U291" s="4"/>
      <c r="V291" s="4"/>
      <c r="W291" s="4" t="s">
        <v>27</v>
      </c>
      <c r="X291" s="4" t="s">
        <v>1315</v>
      </c>
      <c r="Y291" s="4" t="s">
        <v>1315</v>
      </c>
      <c r="Z291" s="4" t="s">
        <v>1316</v>
      </c>
      <c r="AA291" s="4" t="s">
        <v>1317</v>
      </c>
      <c r="AB291" s="4" t="s">
        <v>1318</v>
      </c>
      <c r="AC291" s="4" t="s">
        <v>1319</v>
      </c>
      <c r="AD291" s="4" t="s">
        <v>17</v>
      </c>
      <c r="AE291" s="4" t="s">
        <v>1320</v>
      </c>
      <c r="AF291" s="4" t="s">
        <v>19</v>
      </c>
      <c r="AG291" s="4" t="s">
        <v>19</v>
      </c>
      <c r="AH291" s="4" t="s">
        <v>1318</v>
      </c>
    </row>
    <row r="292" spans="2:34" ht="15">
      <c r="B292" s="1" t="s">
        <v>0</v>
      </c>
      <c r="C292" s="2">
        <v>43616</v>
      </c>
      <c r="D292" s="1" t="s">
        <v>1</v>
      </c>
      <c r="E292" s="1" t="s">
        <v>1321</v>
      </c>
      <c r="F292" s="1" t="s">
        <v>3</v>
      </c>
      <c r="G292" s="1" t="s">
        <v>4</v>
      </c>
      <c r="H292" s="1" t="s">
        <v>119</v>
      </c>
      <c r="I292" s="2">
        <v>43616</v>
      </c>
      <c r="J292" s="3">
        <v>0.38394675925925925</v>
      </c>
      <c r="K292" s="2">
        <v>43620</v>
      </c>
      <c r="L292" s="1" t="s">
        <v>6</v>
      </c>
      <c r="M292" s="1"/>
      <c r="N292" s="1" t="s">
        <v>214</v>
      </c>
      <c r="O292" s="1" t="s">
        <v>215</v>
      </c>
      <c r="P292" s="1" t="s">
        <v>216</v>
      </c>
      <c r="Q292" s="1" t="s">
        <v>4</v>
      </c>
      <c r="R292" s="1" t="s">
        <v>4</v>
      </c>
      <c r="S292" s="1" t="s">
        <v>10</v>
      </c>
      <c r="T292" s="1"/>
      <c r="U292" s="1"/>
      <c r="V292" s="1"/>
      <c r="W292" s="1" t="s">
        <v>27</v>
      </c>
      <c r="X292" s="1" t="s">
        <v>1322</v>
      </c>
      <c r="Y292" s="1" t="s">
        <v>1322</v>
      </c>
      <c r="Z292" s="1" t="s">
        <v>1323</v>
      </c>
      <c r="AA292" s="1" t="s">
        <v>1324</v>
      </c>
      <c r="AB292" s="1" t="s">
        <v>1325</v>
      </c>
      <c r="AC292" s="1" t="s">
        <v>1326</v>
      </c>
      <c r="AD292" s="1" t="s">
        <v>17</v>
      </c>
      <c r="AE292" s="1" t="s">
        <v>1327</v>
      </c>
      <c r="AF292" s="1" t="s">
        <v>19</v>
      </c>
      <c r="AG292" s="1" t="s">
        <v>19</v>
      </c>
      <c r="AH292" s="1" t="s">
        <v>1325</v>
      </c>
    </row>
    <row r="293" spans="2:34" ht="15">
      <c r="B293" s="4" t="s">
        <v>0</v>
      </c>
      <c r="C293" s="5">
        <v>43616</v>
      </c>
      <c r="D293" s="4" t="s">
        <v>1</v>
      </c>
      <c r="E293" s="4" t="s">
        <v>1328</v>
      </c>
      <c r="F293" s="4" t="s">
        <v>3</v>
      </c>
      <c r="G293" s="4" t="s">
        <v>4</v>
      </c>
      <c r="H293" s="4" t="s">
        <v>119</v>
      </c>
      <c r="I293" s="5">
        <v>43616</v>
      </c>
      <c r="J293" s="6">
        <v>0.35439814814814813</v>
      </c>
      <c r="K293" s="5">
        <v>43620</v>
      </c>
      <c r="L293" s="4" t="s">
        <v>6</v>
      </c>
      <c r="M293" s="4"/>
      <c r="N293" s="4" t="s">
        <v>663</v>
      </c>
      <c r="O293" s="4" t="s">
        <v>664</v>
      </c>
      <c r="P293" s="4" t="s">
        <v>665</v>
      </c>
      <c r="Q293" s="4" t="s">
        <v>4</v>
      </c>
      <c r="R293" s="4" t="s">
        <v>4</v>
      </c>
      <c r="S293" s="4" t="s">
        <v>10</v>
      </c>
      <c r="T293" s="4"/>
      <c r="U293" s="4"/>
      <c r="V293" s="4"/>
      <c r="W293" s="4" t="s">
        <v>27</v>
      </c>
      <c r="X293" s="4" t="s">
        <v>1329</v>
      </c>
      <c r="Y293" s="4" t="s">
        <v>1329</v>
      </c>
      <c r="Z293" s="4" t="s">
        <v>1330</v>
      </c>
      <c r="AA293" s="4" t="s">
        <v>1331</v>
      </c>
      <c r="AB293" s="4" t="s">
        <v>1332</v>
      </c>
      <c r="AC293" s="4" t="s">
        <v>1333</v>
      </c>
      <c r="AD293" s="4" t="s">
        <v>17</v>
      </c>
      <c r="AE293" s="4" t="s">
        <v>1334</v>
      </c>
      <c r="AF293" s="4" t="s">
        <v>19</v>
      </c>
      <c r="AG293" s="4" t="s">
        <v>19</v>
      </c>
      <c r="AH293" s="4" t="s">
        <v>1332</v>
      </c>
    </row>
    <row r="294" spans="2:34" ht="15">
      <c r="B294" s="1" t="s">
        <v>0</v>
      </c>
      <c r="C294" s="2">
        <v>43616</v>
      </c>
      <c r="D294" s="1" t="s">
        <v>1</v>
      </c>
      <c r="E294" s="1" t="s">
        <v>1340</v>
      </c>
      <c r="F294" s="1" t="s">
        <v>3</v>
      </c>
      <c r="G294" s="1" t="s">
        <v>4</v>
      </c>
      <c r="H294" s="1" t="s">
        <v>119</v>
      </c>
      <c r="I294" s="2">
        <v>43616</v>
      </c>
      <c r="J294" s="3">
        <v>0.37081018518518516</v>
      </c>
      <c r="K294" s="2">
        <v>43620</v>
      </c>
      <c r="L294" s="1" t="s">
        <v>6</v>
      </c>
      <c r="M294" s="1"/>
      <c r="N294" s="1" t="s">
        <v>136</v>
      </c>
      <c r="O294" s="1" t="s">
        <v>137</v>
      </c>
      <c r="P294" s="1" t="s">
        <v>138</v>
      </c>
      <c r="Q294" s="1" t="s">
        <v>4</v>
      </c>
      <c r="R294" s="1" t="s">
        <v>4</v>
      </c>
      <c r="S294" s="1" t="s">
        <v>10</v>
      </c>
      <c r="T294" s="1"/>
      <c r="U294" s="1"/>
      <c r="V294" s="1"/>
      <c r="W294" s="1" t="s">
        <v>27</v>
      </c>
      <c r="X294" s="1" t="s">
        <v>1341</v>
      </c>
      <c r="Y294" s="1" t="s">
        <v>1341</v>
      </c>
      <c r="Z294" s="1" t="s">
        <v>1342</v>
      </c>
      <c r="AA294" s="1" t="s">
        <v>1343</v>
      </c>
      <c r="AB294" s="1" t="s">
        <v>1344</v>
      </c>
      <c r="AC294" s="1" t="s">
        <v>1345</v>
      </c>
      <c r="AD294" s="1" t="s">
        <v>17</v>
      </c>
      <c r="AE294" s="1" t="s">
        <v>17</v>
      </c>
      <c r="AF294" s="1" t="s">
        <v>19</v>
      </c>
      <c r="AG294" s="1" t="s">
        <v>19</v>
      </c>
      <c r="AH294" s="1" t="s">
        <v>1344</v>
      </c>
    </row>
    <row r="295" spans="2:34" ht="15">
      <c r="B295" s="4" t="s">
        <v>0</v>
      </c>
      <c r="C295" s="5">
        <v>43616</v>
      </c>
      <c r="D295" s="4" t="s">
        <v>1</v>
      </c>
      <c r="E295" s="4" t="s">
        <v>1346</v>
      </c>
      <c r="F295" s="4" t="s">
        <v>3</v>
      </c>
      <c r="G295" s="4" t="s">
        <v>4</v>
      </c>
      <c r="H295" s="4" t="s">
        <v>119</v>
      </c>
      <c r="I295" s="5">
        <v>43616</v>
      </c>
      <c r="J295" s="6">
        <v>0.4260185185185185</v>
      </c>
      <c r="K295" s="5">
        <v>43620</v>
      </c>
      <c r="L295" s="4" t="s">
        <v>6</v>
      </c>
      <c r="M295" s="4"/>
      <c r="N295" s="4" t="s">
        <v>204</v>
      </c>
      <c r="O295" s="4" t="s">
        <v>205</v>
      </c>
      <c r="P295" s="4" t="s">
        <v>206</v>
      </c>
      <c r="Q295" s="4" t="s">
        <v>4</v>
      </c>
      <c r="R295" s="4" t="s">
        <v>4</v>
      </c>
      <c r="S295" s="4" t="s">
        <v>10</v>
      </c>
      <c r="T295" s="4"/>
      <c r="U295" s="4"/>
      <c r="V295" s="4"/>
      <c r="W295" s="4" t="s">
        <v>27</v>
      </c>
      <c r="X295" s="4" t="s">
        <v>1347</v>
      </c>
      <c r="Y295" s="4" t="s">
        <v>1347</v>
      </c>
      <c r="Z295" s="4" t="s">
        <v>121</v>
      </c>
      <c r="AA295" s="4" t="s">
        <v>1348</v>
      </c>
      <c r="AB295" s="4" t="s">
        <v>1349</v>
      </c>
      <c r="AC295" s="4" t="s">
        <v>1350</v>
      </c>
      <c r="AD295" s="4" t="s">
        <v>17</v>
      </c>
      <c r="AE295" s="4" t="s">
        <v>1351</v>
      </c>
      <c r="AF295" s="4" t="s">
        <v>19</v>
      </c>
      <c r="AG295" s="4" t="s">
        <v>19</v>
      </c>
      <c r="AH295" s="4" t="s">
        <v>1349</v>
      </c>
    </row>
    <row r="296" spans="2:34" ht="15">
      <c r="B296" s="1" t="s">
        <v>0</v>
      </c>
      <c r="C296" s="2">
        <v>43616</v>
      </c>
      <c r="D296" s="1" t="s">
        <v>1</v>
      </c>
      <c r="E296" s="1" t="s">
        <v>1358</v>
      </c>
      <c r="F296" s="1" t="s">
        <v>3</v>
      </c>
      <c r="G296" s="1" t="s">
        <v>4</v>
      </c>
      <c r="H296" s="1" t="s">
        <v>325</v>
      </c>
      <c r="I296" s="2">
        <v>43616</v>
      </c>
      <c r="J296" s="3">
        <v>0.4527777777777778</v>
      </c>
      <c r="K296" s="2">
        <v>43620</v>
      </c>
      <c r="L296" s="1" t="s">
        <v>6</v>
      </c>
      <c r="M296" s="1"/>
      <c r="N296" s="1" t="s">
        <v>250</v>
      </c>
      <c r="O296" s="1" t="s">
        <v>251</v>
      </c>
      <c r="P296" s="1" t="s">
        <v>252</v>
      </c>
      <c r="Q296" s="1" t="s">
        <v>4</v>
      </c>
      <c r="R296" s="1" t="s">
        <v>4</v>
      </c>
      <c r="S296" s="1" t="s">
        <v>10</v>
      </c>
      <c r="T296" s="1"/>
      <c r="U296" s="1"/>
      <c r="V296" s="1"/>
      <c r="W296" s="1" t="s">
        <v>27</v>
      </c>
      <c r="X296" s="1" t="s">
        <v>1359</v>
      </c>
      <c r="Y296" s="1" t="s">
        <v>1359</v>
      </c>
      <c r="Z296" s="1" t="s">
        <v>1360</v>
      </c>
      <c r="AA296" s="1" t="s">
        <v>1361</v>
      </c>
      <c r="AB296" s="1" t="s">
        <v>1362</v>
      </c>
      <c r="AC296" s="1" t="s">
        <v>1363</v>
      </c>
      <c r="AD296" s="1" t="s">
        <v>17</v>
      </c>
      <c r="AE296" s="1" t="s">
        <v>1364</v>
      </c>
      <c r="AF296" s="1" t="s">
        <v>19</v>
      </c>
      <c r="AG296" s="1" t="s">
        <v>19</v>
      </c>
      <c r="AH296" s="1" t="s">
        <v>1362</v>
      </c>
    </row>
    <row r="297" spans="2:34" ht="15">
      <c r="B297" s="4" t="s">
        <v>0</v>
      </c>
      <c r="C297" s="5">
        <v>43616</v>
      </c>
      <c r="D297" s="4" t="s">
        <v>1</v>
      </c>
      <c r="E297" s="4" t="s">
        <v>1372</v>
      </c>
      <c r="F297" s="4" t="s">
        <v>3</v>
      </c>
      <c r="G297" s="4" t="s">
        <v>4</v>
      </c>
      <c r="H297" s="4" t="s">
        <v>325</v>
      </c>
      <c r="I297" s="5">
        <v>43616</v>
      </c>
      <c r="J297" s="6">
        <v>0.45069444444444445</v>
      </c>
      <c r="K297" s="5">
        <v>43620</v>
      </c>
      <c r="L297" s="4" t="s">
        <v>6</v>
      </c>
      <c r="M297" s="4"/>
      <c r="N297" s="4" t="s">
        <v>316</v>
      </c>
      <c r="O297" s="4" t="s">
        <v>317</v>
      </c>
      <c r="P297" s="4" t="s">
        <v>318</v>
      </c>
      <c r="Q297" s="4" t="s">
        <v>4</v>
      </c>
      <c r="R297" s="4" t="s">
        <v>4</v>
      </c>
      <c r="S297" s="4" t="s">
        <v>10</v>
      </c>
      <c r="T297" s="4"/>
      <c r="U297" s="4"/>
      <c r="V297" s="4"/>
      <c r="W297" s="4" t="s">
        <v>27</v>
      </c>
      <c r="X297" s="4" t="s">
        <v>1373</v>
      </c>
      <c r="Y297" s="4" t="s">
        <v>1373</v>
      </c>
      <c r="Z297" s="4" t="s">
        <v>1374</v>
      </c>
      <c r="AA297" s="4" t="s">
        <v>1375</v>
      </c>
      <c r="AB297" s="4" t="s">
        <v>1376</v>
      </c>
      <c r="AC297" s="4" t="s">
        <v>1377</v>
      </c>
      <c r="AD297" s="4" t="s">
        <v>17</v>
      </c>
      <c r="AE297" s="4" t="s">
        <v>1378</v>
      </c>
      <c r="AF297" s="4" t="s">
        <v>19</v>
      </c>
      <c r="AG297" s="4" t="s">
        <v>19</v>
      </c>
      <c r="AH297" s="4" t="s">
        <v>1376</v>
      </c>
    </row>
    <row r="298" spans="2:34" ht="15">
      <c r="B298" s="1" t="s">
        <v>0</v>
      </c>
      <c r="C298" s="2">
        <v>43616</v>
      </c>
      <c r="D298" s="1" t="s">
        <v>1</v>
      </c>
      <c r="E298" s="1" t="s">
        <v>1379</v>
      </c>
      <c r="F298" s="1" t="s">
        <v>3</v>
      </c>
      <c r="G298" s="1" t="s">
        <v>4</v>
      </c>
      <c r="H298" s="1" t="s">
        <v>119</v>
      </c>
      <c r="I298" s="2">
        <v>43616</v>
      </c>
      <c r="J298" s="3">
        <v>0.4509837962962963</v>
      </c>
      <c r="K298" s="2">
        <v>43620</v>
      </c>
      <c r="L298" s="1" t="s">
        <v>6</v>
      </c>
      <c r="M298" s="1"/>
      <c r="N298" s="1" t="s">
        <v>223</v>
      </c>
      <c r="O298" s="1" t="s">
        <v>224</v>
      </c>
      <c r="P298" s="1" t="s">
        <v>225</v>
      </c>
      <c r="Q298" s="1" t="s">
        <v>4</v>
      </c>
      <c r="R298" s="1" t="s">
        <v>4</v>
      </c>
      <c r="S298" s="1" t="s">
        <v>10</v>
      </c>
      <c r="T298" s="1"/>
      <c r="U298" s="1"/>
      <c r="V298" s="1"/>
      <c r="W298" s="1" t="s">
        <v>27</v>
      </c>
      <c r="X298" s="1" t="s">
        <v>1380</v>
      </c>
      <c r="Y298" s="1" t="s">
        <v>1380</v>
      </c>
      <c r="Z298" s="1" t="s">
        <v>1381</v>
      </c>
      <c r="AA298" s="1" t="s">
        <v>1382</v>
      </c>
      <c r="AB298" s="1" t="s">
        <v>1383</v>
      </c>
      <c r="AC298" s="1" t="s">
        <v>1384</v>
      </c>
      <c r="AD298" s="1" t="s">
        <v>17</v>
      </c>
      <c r="AE298" s="1" t="s">
        <v>1385</v>
      </c>
      <c r="AF298" s="1" t="s">
        <v>19</v>
      </c>
      <c r="AG298" s="1" t="s">
        <v>19</v>
      </c>
      <c r="AH298" s="1" t="s">
        <v>1383</v>
      </c>
    </row>
    <row r="299" spans="2:34" ht="15">
      <c r="B299" s="4" t="s">
        <v>0</v>
      </c>
      <c r="C299" s="5">
        <v>43616</v>
      </c>
      <c r="D299" s="4" t="s">
        <v>1</v>
      </c>
      <c r="E299" s="4" t="s">
        <v>1386</v>
      </c>
      <c r="F299" s="4" t="s">
        <v>3</v>
      </c>
      <c r="G299" s="4" t="s">
        <v>4</v>
      </c>
      <c r="H299" s="4" t="s">
        <v>786</v>
      </c>
      <c r="I299" s="5">
        <v>43616</v>
      </c>
      <c r="J299" s="6">
        <v>0.36666666666666664</v>
      </c>
      <c r="K299" s="5">
        <v>43620</v>
      </c>
      <c r="L299" s="4" t="s">
        <v>6</v>
      </c>
      <c r="M299" s="4"/>
      <c r="N299" s="4" t="s">
        <v>382</v>
      </c>
      <c r="O299" s="4" t="s">
        <v>383</v>
      </c>
      <c r="P299" s="4" t="s">
        <v>1387</v>
      </c>
      <c r="Q299" s="4" t="s">
        <v>4</v>
      </c>
      <c r="R299" s="4" t="s">
        <v>4</v>
      </c>
      <c r="S299" s="4" t="s">
        <v>10</v>
      </c>
      <c r="T299" s="4"/>
      <c r="U299" s="4"/>
      <c r="V299" s="4"/>
      <c r="W299" s="4" t="s">
        <v>27</v>
      </c>
      <c r="X299" s="4" t="s">
        <v>159</v>
      </c>
      <c r="Y299" s="4" t="s">
        <v>159</v>
      </c>
      <c r="Z299" s="4" t="s">
        <v>1388</v>
      </c>
      <c r="AA299" s="4" t="s">
        <v>1389</v>
      </c>
      <c r="AB299" s="4" t="s">
        <v>1390</v>
      </c>
      <c r="AC299" s="4" t="s">
        <v>1391</v>
      </c>
      <c r="AD299" s="4" t="s">
        <v>17</v>
      </c>
      <c r="AE299" s="4" t="s">
        <v>1392</v>
      </c>
      <c r="AF299" s="4" t="s">
        <v>19</v>
      </c>
      <c r="AG299" s="4" t="s">
        <v>19</v>
      </c>
      <c r="AH299" s="4" t="s">
        <v>1390</v>
      </c>
    </row>
    <row r="300" spans="2:34" ht="15">
      <c r="B300" s="1" t="s">
        <v>0</v>
      </c>
      <c r="C300" s="2">
        <v>43619</v>
      </c>
      <c r="D300" s="1" t="s">
        <v>1</v>
      </c>
      <c r="E300" s="1" t="s">
        <v>1711</v>
      </c>
      <c r="F300" s="1" t="s">
        <v>3</v>
      </c>
      <c r="G300" s="1" t="s">
        <v>4</v>
      </c>
      <c r="H300" s="1" t="s">
        <v>325</v>
      </c>
      <c r="I300" s="2">
        <v>43616</v>
      </c>
      <c r="J300" s="3">
        <v>0.46597222222222223</v>
      </c>
      <c r="K300" s="2">
        <v>43620</v>
      </c>
      <c r="L300" s="1" t="s">
        <v>6</v>
      </c>
      <c r="M300" s="1"/>
      <c r="N300" s="1" t="s">
        <v>316</v>
      </c>
      <c r="O300" s="1" t="s">
        <v>317</v>
      </c>
      <c r="P300" s="1" t="s">
        <v>318</v>
      </c>
      <c r="Q300" s="1" t="s">
        <v>4</v>
      </c>
      <c r="R300" s="1" t="s">
        <v>4</v>
      </c>
      <c r="S300" s="1" t="s">
        <v>10</v>
      </c>
      <c r="T300" s="1"/>
      <c r="U300" s="1"/>
      <c r="V300" s="1"/>
      <c r="W300" s="1" t="s">
        <v>27</v>
      </c>
      <c r="X300" s="1" t="s">
        <v>1712</v>
      </c>
      <c r="Y300" s="1" t="s">
        <v>1712</v>
      </c>
      <c r="Z300" s="1" t="s">
        <v>1374</v>
      </c>
      <c r="AA300" s="1" t="s">
        <v>1713</v>
      </c>
      <c r="AB300" s="1" t="s">
        <v>1714</v>
      </c>
      <c r="AC300" s="1" t="s">
        <v>1715</v>
      </c>
      <c r="AD300" s="1" t="s">
        <v>17</v>
      </c>
      <c r="AE300" s="1" t="s">
        <v>1716</v>
      </c>
      <c r="AF300" s="1" t="s">
        <v>19</v>
      </c>
      <c r="AG300" s="1" t="s">
        <v>19</v>
      </c>
      <c r="AH300" s="1" t="s">
        <v>1714</v>
      </c>
    </row>
    <row r="301" spans="2:34" ht="15">
      <c r="B301" s="4" t="s">
        <v>0</v>
      </c>
      <c r="C301" s="5">
        <v>43619</v>
      </c>
      <c r="D301" s="4" t="s">
        <v>1</v>
      </c>
      <c r="E301" s="4" t="s">
        <v>1717</v>
      </c>
      <c r="F301" s="4" t="s">
        <v>3</v>
      </c>
      <c r="G301" s="4" t="s">
        <v>4</v>
      </c>
      <c r="H301" s="4" t="s">
        <v>119</v>
      </c>
      <c r="I301" s="5">
        <v>43616</v>
      </c>
      <c r="J301" s="6">
        <v>0.48626157407407405</v>
      </c>
      <c r="K301" s="5">
        <v>43620</v>
      </c>
      <c r="L301" s="4" t="s">
        <v>6</v>
      </c>
      <c r="M301" s="4"/>
      <c r="N301" s="4" t="s">
        <v>278</v>
      </c>
      <c r="O301" s="4" t="s">
        <v>279</v>
      </c>
      <c r="P301" s="4" t="s">
        <v>280</v>
      </c>
      <c r="Q301" s="4" t="s">
        <v>4</v>
      </c>
      <c r="R301" s="4" t="s">
        <v>4</v>
      </c>
      <c r="S301" s="4" t="s">
        <v>10</v>
      </c>
      <c r="T301" s="4"/>
      <c r="U301" s="4"/>
      <c r="V301" s="4"/>
      <c r="W301" s="4" t="s">
        <v>27</v>
      </c>
      <c r="X301" s="4" t="s">
        <v>1718</v>
      </c>
      <c r="Y301" s="4" t="s">
        <v>1718</v>
      </c>
      <c r="Z301" s="4" t="s">
        <v>1719</v>
      </c>
      <c r="AA301" s="4" t="s">
        <v>1720</v>
      </c>
      <c r="AB301" s="4" t="s">
        <v>1721</v>
      </c>
      <c r="AC301" s="4" t="s">
        <v>1722</v>
      </c>
      <c r="AD301" s="4" t="s">
        <v>17</v>
      </c>
      <c r="AE301" s="4" t="s">
        <v>1723</v>
      </c>
      <c r="AF301" s="4" t="s">
        <v>19</v>
      </c>
      <c r="AG301" s="4" t="s">
        <v>19</v>
      </c>
      <c r="AH301" s="4" t="s">
        <v>1721</v>
      </c>
    </row>
    <row r="302" spans="2:34" ht="15">
      <c r="B302" s="1" t="s">
        <v>153</v>
      </c>
      <c r="C302" s="2">
        <v>43621</v>
      </c>
      <c r="D302" s="1" t="s">
        <v>154</v>
      </c>
      <c r="E302" s="1" t="s">
        <v>1724</v>
      </c>
      <c r="F302" s="1" t="s">
        <v>3</v>
      </c>
      <c r="G302" s="1" t="s">
        <v>4</v>
      </c>
      <c r="H302" s="1" t="s">
        <v>119</v>
      </c>
      <c r="I302" s="2">
        <v>43620</v>
      </c>
      <c r="J302" s="3">
        <v>0.6040856481481481</v>
      </c>
      <c r="K302" s="2">
        <v>43622</v>
      </c>
      <c r="L302" s="1" t="s">
        <v>6</v>
      </c>
      <c r="M302" s="1"/>
      <c r="N302" s="1" t="s">
        <v>136</v>
      </c>
      <c r="O302" s="1" t="s">
        <v>137</v>
      </c>
      <c r="P302" s="1" t="s">
        <v>138</v>
      </c>
      <c r="Q302" s="1" t="s">
        <v>4</v>
      </c>
      <c r="R302" s="1" t="s">
        <v>4</v>
      </c>
      <c r="S302" s="1" t="s">
        <v>10</v>
      </c>
      <c r="T302" s="1"/>
      <c r="U302" s="1"/>
      <c r="V302" s="1"/>
      <c r="W302" s="1" t="s">
        <v>27</v>
      </c>
      <c r="X302" s="1" t="s">
        <v>235</v>
      </c>
      <c r="Y302" s="1" t="s">
        <v>235</v>
      </c>
      <c r="Z302" s="1" t="s">
        <v>1725</v>
      </c>
      <c r="AA302" s="1" t="s">
        <v>1726</v>
      </c>
      <c r="AB302" s="1" t="s">
        <v>1727</v>
      </c>
      <c r="AC302" s="1" t="s">
        <v>1728</v>
      </c>
      <c r="AD302" s="1" t="s">
        <v>17</v>
      </c>
      <c r="AE302" s="1" t="s">
        <v>17</v>
      </c>
      <c r="AF302" s="1" t="s">
        <v>19</v>
      </c>
      <c r="AG302" s="1" t="s">
        <v>19</v>
      </c>
      <c r="AH302" s="1" t="s">
        <v>1727</v>
      </c>
    </row>
    <row r="303" spans="2:34" ht="15">
      <c r="B303" s="4" t="s">
        <v>20</v>
      </c>
      <c r="C303" s="5">
        <v>43623</v>
      </c>
      <c r="D303" s="4" t="s">
        <v>21</v>
      </c>
      <c r="E303" s="4" t="s">
        <v>1729</v>
      </c>
      <c r="F303" s="4" t="s">
        <v>3</v>
      </c>
      <c r="G303" s="4" t="s">
        <v>4</v>
      </c>
      <c r="H303" s="4" t="s">
        <v>325</v>
      </c>
      <c r="I303" s="5">
        <v>43622</v>
      </c>
      <c r="J303" s="6">
        <v>0.6340277777777777</v>
      </c>
      <c r="K303" s="5">
        <v>43626</v>
      </c>
      <c r="L303" s="4" t="s">
        <v>6</v>
      </c>
      <c r="M303" s="4"/>
      <c r="N303" s="4" t="s">
        <v>223</v>
      </c>
      <c r="O303" s="4" t="s">
        <v>224</v>
      </c>
      <c r="P303" s="4" t="s">
        <v>225</v>
      </c>
      <c r="Q303" s="4" t="s">
        <v>4</v>
      </c>
      <c r="R303" s="4" t="s">
        <v>4</v>
      </c>
      <c r="S303" s="4" t="s">
        <v>10</v>
      </c>
      <c r="T303" s="4"/>
      <c r="U303" s="4"/>
      <c r="V303" s="4"/>
      <c r="W303" s="4" t="s">
        <v>27</v>
      </c>
      <c r="X303" s="4" t="s">
        <v>1730</v>
      </c>
      <c r="Y303" s="4" t="s">
        <v>1730</v>
      </c>
      <c r="Z303" s="4" t="s">
        <v>1731</v>
      </c>
      <c r="AA303" s="4" t="s">
        <v>1732</v>
      </c>
      <c r="AB303" s="4" t="s">
        <v>1733</v>
      </c>
      <c r="AC303" s="4" t="s">
        <v>1734</v>
      </c>
      <c r="AD303" s="4" t="s">
        <v>17</v>
      </c>
      <c r="AE303" s="4" t="s">
        <v>1735</v>
      </c>
      <c r="AF303" s="4" t="s">
        <v>19</v>
      </c>
      <c r="AG303" s="4" t="s">
        <v>19</v>
      </c>
      <c r="AH303" s="4" t="s">
        <v>1733</v>
      </c>
    </row>
    <row r="304" spans="2:34" ht="15">
      <c r="B304" s="1" t="s">
        <v>0</v>
      </c>
      <c r="C304" s="2">
        <v>43623</v>
      </c>
      <c r="D304" s="1" t="s">
        <v>1</v>
      </c>
      <c r="E304" s="1" t="s">
        <v>1736</v>
      </c>
      <c r="F304" s="1" t="s">
        <v>3</v>
      </c>
      <c r="G304" s="1" t="s">
        <v>4</v>
      </c>
      <c r="H304" s="1" t="s">
        <v>325</v>
      </c>
      <c r="I304" s="2">
        <v>43622</v>
      </c>
      <c r="J304" s="3">
        <v>0.6340277777777777</v>
      </c>
      <c r="K304" s="2">
        <v>43626</v>
      </c>
      <c r="L304" s="1" t="s">
        <v>6</v>
      </c>
      <c r="M304" s="1"/>
      <c r="N304" s="1" t="s">
        <v>223</v>
      </c>
      <c r="O304" s="1" t="s">
        <v>224</v>
      </c>
      <c r="P304" s="1" t="s">
        <v>225</v>
      </c>
      <c r="Q304" s="1" t="s">
        <v>4</v>
      </c>
      <c r="R304" s="1" t="s">
        <v>4</v>
      </c>
      <c r="S304" s="1" t="s">
        <v>10</v>
      </c>
      <c r="T304" s="1"/>
      <c r="U304" s="1"/>
      <c r="V304" s="1"/>
      <c r="W304" s="1" t="s">
        <v>27</v>
      </c>
      <c r="X304" s="1" t="s">
        <v>1737</v>
      </c>
      <c r="Y304" s="1" t="s">
        <v>1737</v>
      </c>
      <c r="Z304" s="1" t="s">
        <v>1731</v>
      </c>
      <c r="AA304" s="1" t="s">
        <v>1738</v>
      </c>
      <c r="AB304" s="1" t="s">
        <v>1739</v>
      </c>
      <c r="AC304" s="1" t="s">
        <v>1740</v>
      </c>
      <c r="AD304" s="1" t="s">
        <v>17</v>
      </c>
      <c r="AE304" s="1" t="s">
        <v>1741</v>
      </c>
      <c r="AF304" s="1" t="s">
        <v>19</v>
      </c>
      <c r="AG304" s="1" t="s">
        <v>19</v>
      </c>
      <c r="AH304" s="1" t="s">
        <v>1739</v>
      </c>
    </row>
    <row r="305" spans="2:34" ht="15">
      <c r="B305" s="4" t="s">
        <v>0</v>
      </c>
      <c r="C305" s="5">
        <v>43623</v>
      </c>
      <c r="D305" s="4" t="s">
        <v>1</v>
      </c>
      <c r="E305" s="4" t="s">
        <v>1742</v>
      </c>
      <c r="F305" s="4" t="s">
        <v>3</v>
      </c>
      <c r="G305" s="4" t="s">
        <v>4</v>
      </c>
      <c r="H305" s="4" t="s">
        <v>119</v>
      </c>
      <c r="I305" s="5">
        <v>43622</v>
      </c>
      <c r="J305" s="6">
        <v>0.6342245370370371</v>
      </c>
      <c r="K305" s="5">
        <v>43626</v>
      </c>
      <c r="L305" s="4" t="s">
        <v>6</v>
      </c>
      <c r="M305" s="4"/>
      <c r="N305" s="4" t="s">
        <v>885</v>
      </c>
      <c r="O305" s="4" t="s">
        <v>886</v>
      </c>
      <c r="P305" s="4" t="s">
        <v>887</v>
      </c>
      <c r="Q305" s="4" t="s">
        <v>4</v>
      </c>
      <c r="R305" s="4" t="s">
        <v>4</v>
      </c>
      <c r="S305" s="4" t="s">
        <v>10</v>
      </c>
      <c r="T305" s="4"/>
      <c r="U305" s="4"/>
      <c r="V305" s="4"/>
      <c r="W305" s="4" t="s">
        <v>27</v>
      </c>
      <c r="X305" s="4" t="s">
        <v>1743</v>
      </c>
      <c r="Y305" s="4" t="s">
        <v>1743</v>
      </c>
      <c r="Z305" s="4" t="s">
        <v>1744</v>
      </c>
      <c r="AA305" s="4" t="s">
        <v>1745</v>
      </c>
      <c r="AB305" s="4" t="s">
        <v>1746</v>
      </c>
      <c r="AC305" s="4" t="s">
        <v>1747</v>
      </c>
      <c r="AD305" s="4" t="s">
        <v>17</v>
      </c>
      <c r="AE305" s="4" t="s">
        <v>1748</v>
      </c>
      <c r="AF305" s="4" t="s">
        <v>19</v>
      </c>
      <c r="AG305" s="4" t="s">
        <v>19</v>
      </c>
      <c r="AH305" s="4" t="s">
        <v>1746</v>
      </c>
    </row>
    <row r="306" spans="2:34" ht="15">
      <c r="B306" s="1" t="s">
        <v>153</v>
      </c>
      <c r="C306" s="2">
        <v>43623</v>
      </c>
      <c r="D306" s="1" t="s">
        <v>154</v>
      </c>
      <c r="E306" s="1" t="s">
        <v>1749</v>
      </c>
      <c r="F306" s="1" t="s">
        <v>3</v>
      </c>
      <c r="G306" s="1" t="s">
        <v>4</v>
      </c>
      <c r="H306" s="1" t="s">
        <v>325</v>
      </c>
      <c r="I306" s="2">
        <v>43622</v>
      </c>
      <c r="J306" s="3">
        <v>0.6340277777777777</v>
      </c>
      <c r="K306" s="2">
        <v>43626</v>
      </c>
      <c r="L306" s="1" t="s">
        <v>6</v>
      </c>
      <c r="M306" s="1"/>
      <c r="N306" s="1" t="s">
        <v>223</v>
      </c>
      <c r="O306" s="1" t="s">
        <v>224</v>
      </c>
      <c r="P306" s="1" t="s">
        <v>225</v>
      </c>
      <c r="Q306" s="1" t="s">
        <v>4</v>
      </c>
      <c r="R306" s="1" t="s">
        <v>4</v>
      </c>
      <c r="S306" s="1" t="s">
        <v>10</v>
      </c>
      <c r="T306" s="1"/>
      <c r="U306" s="1"/>
      <c r="V306" s="1"/>
      <c r="W306" s="1" t="s">
        <v>27</v>
      </c>
      <c r="X306" s="1" t="s">
        <v>1750</v>
      </c>
      <c r="Y306" s="1" t="s">
        <v>1750</v>
      </c>
      <c r="Z306" s="1" t="s">
        <v>1731</v>
      </c>
      <c r="AA306" s="1" t="s">
        <v>1751</v>
      </c>
      <c r="AB306" s="1" t="s">
        <v>1752</v>
      </c>
      <c r="AC306" s="1" t="s">
        <v>1753</v>
      </c>
      <c r="AD306" s="1" t="s">
        <v>17</v>
      </c>
      <c r="AE306" s="1" t="s">
        <v>1754</v>
      </c>
      <c r="AF306" s="1" t="s">
        <v>19</v>
      </c>
      <c r="AG306" s="1" t="s">
        <v>19</v>
      </c>
      <c r="AH306" s="1" t="s">
        <v>1752</v>
      </c>
    </row>
    <row r="307" spans="2:34" ht="15">
      <c r="B307" s="4" t="s">
        <v>153</v>
      </c>
      <c r="C307" s="5">
        <v>43627</v>
      </c>
      <c r="D307" s="4" t="s">
        <v>154</v>
      </c>
      <c r="E307" s="4"/>
      <c r="F307" s="4" t="s">
        <v>3</v>
      </c>
      <c r="G307" s="4" t="s">
        <v>4</v>
      </c>
      <c r="H307" s="4" t="s">
        <v>119</v>
      </c>
      <c r="I307" s="5">
        <v>43626</v>
      </c>
      <c r="J307" s="6">
        <v>0.47600694444444447</v>
      </c>
      <c r="K307" s="5">
        <v>43630</v>
      </c>
      <c r="L307" s="4" t="s">
        <v>6</v>
      </c>
      <c r="M307" s="4"/>
      <c r="N307" s="4" t="s">
        <v>136</v>
      </c>
      <c r="O307" s="4" t="s">
        <v>137</v>
      </c>
      <c r="P307" s="4" t="s">
        <v>138</v>
      </c>
      <c r="Q307" s="4" t="s">
        <v>4</v>
      </c>
      <c r="R307" s="4" t="s">
        <v>4</v>
      </c>
      <c r="S307" s="4" t="s">
        <v>10</v>
      </c>
      <c r="T307" s="4"/>
      <c r="U307" s="4"/>
      <c r="V307" s="4"/>
      <c r="W307" s="4" t="s">
        <v>27</v>
      </c>
      <c r="X307" s="4" t="s">
        <v>1136</v>
      </c>
      <c r="Y307" s="4" t="s">
        <v>1136</v>
      </c>
      <c r="Z307" s="4" t="s">
        <v>1755</v>
      </c>
      <c r="AA307" s="4" t="s">
        <v>1756</v>
      </c>
      <c r="AB307" s="4" t="s">
        <v>1757</v>
      </c>
      <c r="AC307" s="4" t="s">
        <v>1758</v>
      </c>
      <c r="AD307" s="4" t="s">
        <v>17</v>
      </c>
      <c r="AE307" s="4" t="s">
        <v>17</v>
      </c>
      <c r="AF307" s="4" t="s">
        <v>19</v>
      </c>
      <c r="AG307" s="4" t="s">
        <v>19</v>
      </c>
      <c r="AH307" s="4" t="s">
        <v>1757</v>
      </c>
    </row>
    <row r="308" spans="2:34" ht="15">
      <c r="B308" s="1" t="s">
        <v>153</v>
      </c>
      <c r="C308" s="2">
        <v>43627</v>
      </c>
      <c r="D308" s="1" t="s">
        <v>154</v>
      </c>
      <c r="E308" s="1"/>
      <c r="F308" s="1" t="s">
        <v>3</v>
      </c>
      <c r="G308" s="1" t="s">
        <v>4</v>
      </c>
      <c r="H308" s="1" t="s">
        <v>119</v>
      </c>
      <c r="I308" s="2">
        <v>43626</v>
      </c>
      <c r="J308" s="3">
        <v>0.5508680555555555</v>
      </c>
      <c r="K308" s="2">
        <v>43630</v>
      </c>
      <c r="L308" s="1" t="s">
        <v>6</v>
      </c>
      <c r="M308" s="1"/>
      <c r="N308" s="1" t="s">
        <v>194</v>
      </c>
      <c r="O308" s="1" t="s">
        <v>195</v>
      </c>
      <c r="P308" s="1" t="s">
        <v>196</v>
      </c>
      <c r="Q308" s="1" t="s">
        <v>4</v>
      </c>
      <c r="R308" s="1" t="s">
        <v>4</v>
      </c>
      <c r="S308" s="1" t="s">
        <v>10</v>
      </c>
      <c r="T308" s="1"/>
      <c r="U308" s="1"/>
      <c r="V308" s="1"/>
      <c r="W308" s="1" t="s">
        <v>27</v>
      </c>
      <c r="X308" s="1" t="s">
        <v>1759</v>
      </c>
      <c r="Y308" s="1" t="s">
        <v>1759</v>
      </c>
      <c r="Z308" s="1" t="s">
        <v>1760</v>
      </c>
      <c r="AA308" s="1" t="s">
        <v>1761</v>
      </c>
      <c r="AB308" s="1" t="s">
        <v>1762</v>
      </c>
      <c r="AC308" s="1" t="s">
        <v>1763</v>
      </c>
      <c r="AD308" s="1" t="s">
        <v>17</v>
      </c>
      <c r="AE308" s="1" t="s">
        <v>1764</v>
      </c>
      <c r="AF308" s="1" t="s">
        <v>19</v>
      </c>
      <c r="AG308" s="1" t="s">
        <v>19</v>
      </c>
      <c r="AH308" s="1" t="s">
        <v>1762</v>
      </c>
    </row>
    <row r="309" spans="2:34" ht="15">
      <c r="B309" s="4" t="s">
        <v>153</v>
      </c>
      <c r="C309" s="5">
        <v>43627</v>
      </c>
      <c r="D309" s="4" t="s">
        <v>154</v>
      </c>
      <c r="E309" s="4"/>
      <c r="F309" s="4" t="s">
        <v>3</v>
      </c>
      <c r="G309" s="4" t="s">
        <v>4</v>
      </c>
      <c r="H309" s="4" t="s">
        <v>119</v>
      </c>
      <c r="I309" s="5">
        <v>43626</v>
      </c>
      <c r="J309" s="6">
        <v>0.4766435185185185</v>
      </c>
      <c r="K309" s="5">
        <v>43630</v>
      </c>
      <c r="L309" s="4" t="s">
        <v>6</v>
      </c>
      <c r="M309" s="4"/>
      <c r="N309" s="4" t="s">
        <v>204</v>
      </c>
      <c r="O309" s="4" t="s">
        <v>205</v>
      </c>
      <c r="P309" s="4" t="s">
        <v>206</v>
      </c>
      <c r="Q309" s="4" t="s">
        <v>4</v>
      </c>
      <c r="R309" s="4" t="s">
        <v>4</v>
      </c>
      <c r="S309" s="4" t="s">
        <v>10</v>
      </c>
      <c r="T309" s="4"/>
      <c r="U309" s="4"/>
      <c r="V309" s="4"/>
      <c r="W309" s="4" t="s">
        <v>27</v>
      </c>
      <c r="X309" s="4" t="s">
        <v>1765</v>
      </c>
      <c r="Y309" s="4" t="s">
        <v>1765</v>
      </c>
      <c r="Z309" s="4" t="s">
        <v>1766</v>
      </c>
      <c r="AA309" s="4" t="s">
        <v>1767</v>
      </c>
      <c r="AB309" s="4" t="s">
        <v>1768</v>
      </c>
      <c r="AC309" s="4" t="s">
        <v>1769</v>
      </c>
      <c r="AD309" s="4" t="s">
        <v>17</v>
      </c>
      <c r="AE309" s="4" t="s">
        <v>1770</v>
      </c>
      <c r="AF309" s="4" t="s">
        <v>19</v>
      </c>
      <c r="AG309" s="4" t="s">
        <v>19</v>
      </c>
      <c r="AH309" s="4" t="s">
        <v>1768</v>
      </c>
    </row>
    <row r="310" spans="2:34" ht="15">
      <c r="B310" s="1" t="s">
        <v>153</v>
      </c>
      <c r="C310" s="2">
        <v>43627</v>
      </c>
      <c r="D310" s="1" t="s">
        <v>154</v>
      </c>
      <c r="E310" s="1"/>
      <c r="F310" s="1" t="s">
        <v>3</v>
      </c>
      <c r="G310" s="1" t="s">
        <v>4</v>
      </c>
      <c r="H310" s="1" t="s">
        <v>119</v>
      </c>
      <c r="I310" s="2">
        <v>43626</v>
      </c>
      <c r="J310" s="3">
        <v>0.5481018518518519</v>
      </c>
      <c r="K310" s="2">
        <v>43630</v>
      </c>
      <c r="L310" s="1" t="s">
        <v>6</v>
      </c>
      <c r="M310" s="1"/>
      <c r="N310" s="1" t="s">
        <v>250</v>
      </c>
      <c r="O310" s="1" t="s">
        <v>251</v>
      </c>
      <c r="P310" s="1" t="s">
        <v>252</v>
      </c>
      <c r="Q310" s="1" t="s">
        <v>4</v>
      </c>
      <c r="R310" s="1" t="s">
        <v>4</v>
      </c>
      <c r="S310" s="1" t="s">
        <v>10</v>
      </c>
      <c r="T310" s="1"/>
      <c r="U310" s="1"/>
      <c r="V310" s="1"/>
      <c r="W310" s="1" t="s">
        <v>27</v>
      </c>
      <c r="X310" s="1" t="s">
        <v>1771</v>
      </c>
      <c r="Y310" s="1" t="s">
        <v>1771</v>
      </c>
      <c r="Z310" s="1" t="s">
        <v>1772</v>
      </c>
      <c r="AA310" s="1" t="s">
        <v>1773</v>
      </c>
      <c r="AB310" s="1" t="s">
        <v>1774</v>
      </c>
      <c r="AC310" s="1" t="s">
        <v>1775</v>
      </c>
      <c r="AD310" s="1" t="s">
        <v>17</v>
      </c>
      <c r="AE310" s="1" t="s">
        <v>1776</v>
      </c>
      <c r="AF310" s="1" t="s">
        <v>19</v>
      </c>
      <c r="AG310" s="1" t="s">
        <v>19</v>
      </c>
      <c r="AH310" s="1" t="s">
        <v>1774</v>
      </c>
    </row>
    <row r="311" spans="2:34" ht="15">
      <c r="B311" s="4" t="s">
        <v>153</v>
      </c>
      <c r="C311" s="5">
        <v>43627</v>
      </c>
      <c r="D311" s="4" t="s">
        <v>154</v>
      </c>
      <c r="E311" s="4"/>
      <c r="F311" s="4" t="s">
        <v>3</v>
      </c>
      <c r="G311" s="4" t="s">
        <v>4</v>
      </c>
      <c r="H311" s="4" t="s">
        <v>119</v>
      </c>
      <c r="I311" s="5">
        <v>43626</v>
      </c>
      <c r="J311" s="6">
        <v>0.524525462962963</v>
      </c>
      <c r="K311" s="5">
        <v>43630</v>
      </c>
      <c r="L311" s="4" t="s">
        <v>6</v>
      </c>
      <c r="M311" s="4"/>
      <c r="N311" s="4" t="s">
        <v>278</v>
      </c>
      <c r="O311" s="4" t="s">
        <v>279</v>
      </c>
      <c r="P311" s="4" t="s">
        <v>280</v>
      </c>
      <c r="Q311" s="4" t="s">
        <v>4</v>
      </c>
      <c r="R311" s="4" t="s">
        <v>4</v>
      </c>
      <c r="S311" s="4" t="s">
        <v>10</v>
      </c>
      <c r="T311" s="4"/>
      <c r="U311" s="4"/>
      <c r="V311" s="4"/>
      <c r="W311" s="4" t="s">
        <v>27</v>
      </c>
      <c r="X311" s="4" t="s">
        <v>1777</v>
      </c>
      <c r="Y311" s="4" t="s">
        <v>1777</v>
      </c>
      <c r="Z311" s="4" t="s">
        <v>1778</v>
      </c>
      <c r="AA311" s="4" t="s">
        <v>1779</v>
      </c>
      <c r="AB311" s="4" t="s">
        <v>1780</v>
      </c>
      <c r="AC311" s="4" t="s">
        <v>1781</v>
      </c>
      <c r="AD311" s="4" t="s">
        <v>17</v>
      </c>
      <c r="AE311" s="4" t="s">
        <v>1782</v>
      </c>
      <c r="AF311" s="4" t="s">
        <v>19</v>
      </c>
      <c r="AG311" s="4" t="s">
        <v>19</v>
      </c>
      <c r="AH311" s="4" t="s">
        <v>1780</v>
      </c>
    </row>
    <row r="312" spans="2:34" ht="15">
      <c r="B312" s="1" t="s">
        <v>153</v>
      </c>
      <c r="C312" s="2">
        <v>43627</v>
      </c>
      <c r="D312" s="1" t="s">
        <v>154</v>
      </c>
      <c r="E312" s="1"/>
      <c r="F312" s="1" t="s">
        <v>3</v>
      </c>
      <c r="G312" s="1" t="s">
        <v>4</v>
      </c>
      <c r="H312" s="1" t="s">
        <v>183</v>
      </c>
      <c r="I312" s="2">
        <v>43626</v>
      </c>
      <c r="J312" s="3">
        <v>0.65125</v>
      </c>
      <c r="K312" s="2">
        <v>43630</v>
      </c>
      <c r="L312" s="1" t="s">
        <v>6</v>
      </c>
      <c r="M312" s="1"/>
      <c r="N312" s="1" t="s">
        <v>184</v>
      </c>
      <c r="O312" s="1" t="s">
        <v>185</v>
      </c>
      <c r="P312" s="1" t="s">
        <v>186</v>
      </c>
      <c r="Q312" s="1" t="s">
        <v>4</v>
      </c>
      <c r="R312" s="1" t="s">
        <v>4</v>
      </c>
      <c r="S312" s="1" t="s">
        <v>10</v>
      </c>
      <c r="T312" s="1"/>
      <c r="U312" s="1"/>
      <c r="V312" s="1"/>
      <c r="W312" s="1" t="s">
        <v>27</v>
      </c>
      <c r="X312" s="1" t="s">
        <v>1783</v>
      </c>
      <c r="Y312" s="1" t="s">
        <v>1783</v>
      </c>
      <c r="Z312" s="1" t="s">
        <v>1784</v>
      </c>
      <c r="AA312" s="1" t="s">
        <v>1785</v>
      </c>
      <c r="AB312" s="1" t="s">
        <v>1786</v>
      </c>
      <c r="AC312" s="1" t="s">
        <v>1787</v>
      </c>
      <c r="AD312" s="1" t="s">
        <v>17</v>
      </c>
      <c r="AE312" s="1" t="s">
        <v>1788</v>
      </c>
      <c r="AF312" s="1" t="s">
        <v>19</v>
      </c>
      <c r="AG312" s="1" t="s">
        <v>19</v>
      </c>
      <c r="AH312" s="1" t="s">
        <v>1786</v>
      </c>
    </row>
    <row r="313" spans="2:34" ht="15">
      <c r="B313" s="4" t="s">
        <v>153</v>
      </c>
      <c r="C313" s="5">
        <v>43627</v>
      </c>
      <c r="D313" s="4" t="s">
        <v>154</v>
      </c>
      <c r="E313" s="4"/>
      <c r="F313" s="4" t="s">
        <v>3</v>
      </c>
      <c r="G313" s="4" t="s">
        <v>4</v>
      </c>
      <c r="H313" s="4" t="s">
        <v>325</v>
      </c>
      <c r="I313" s="5">
        <v>43626</v>
      </c>
      <c r="J313" s="6">
        <v>0.4701388888888889</v>
      </c>
      <c r="K313" s="5">
        <v>43630</v>
      </c>
      <c r="L313" s="4" t="s">
        <v>6</v>
      </c>
      <c r="M313" s="4"/>
      <c r="N313" s="4" t="s">
        <v>336</v>
      </c>
      <c r="O313" s="4" t="s">
        <v>337</v>
      </c>
      <c r="P313" s="4" t="s">
        <v>338</v>
      </c>
      <c r="Q313" s="4" t="s">
        <v>4</v>
      </c>
      <c r="R313" s="4" t="s">
        <v>4</v>
      </c>
      <c r="S313" s="4" t="s">
        <v>10</v>
      </c>
      <c r="T313" s="4"/>
      <c r="U313" s="4"/>
      <c r="V313" s="4"/>
      <c r="W313" s="4" t="s">
        <v>27</v>
      </c>
      <c r="X313" s="4" t="s">
        <v>1789</v>
      </c>
      <c r="Y313" s="4" t="s">
        <v>1789</v>
      </c>
      <c r="Z313" s="4" t="s">
        <v>1790</v>
      </c>
      <c r="AA313" s="4" t="s">
        <v>1791</v>
      </c>
      <c r="AB313" s="4" t="s">
        <v>1792</v>
      </c>
      <c r="AC313" s="4" t="s">
        <v>1793</v>
      </c>
      <c r="AD313" s="4" t="s">
        <v>17</v>
      </c>
      <c r="AE313" s="4" t="s">
        <v>1794</v>
      </c>
      <c r="AF313" s="4" t="s">
        <v>19</v>
      </c>
      <c r="AG313" s="4" t="s">
        <v>19</v>
      </c>
      <c r="AH313" s="4" t="s">
        <v>1792</v>
      </c>
    </row>
    <row r="314" spans="2:34" ht="15">
      <c r="B314" s="1" t="s">
        <v>153</v>
      </c>
      <c r="C314" s="2">
        <v>43627</v>
      </c>
      <c r="D314" s="1" t="s">
        <v>154</v>
      </c>
      <c r="E314" s="1"/>
      <c r="F314" s="1" t="s">
        <v>3</v>
      </c>
      <c r="G314" s="1" t="s">
        <v>4</v>
      </c>
      <c r="H314" s="1" t="s">
        <v>325</v>
      </c>
      <c r="I314" s="2">
        <v>43626</v>
      </c>
      <c r="J314" s="3">
        <v>0.6916666666666667</v>
      </c>
      <c r="K314" s="2">
        <v>43630</v>
      </c>
      <c r="L314" s="1" t="s">
        <v>6</v>
      </c>
      <c r="M314" s="1"/>
      <c r="N314" s="1" t="s">
        <v>391</v>
      </c>
      <c r="O314" s="1" t="s">
        <v>392</v>
      </c>
      <c r="P314" s="1" t="s">
        <v>698</v>
      </c>
      <c r="Q314" s="1" t="s">
        <v>4</v>
      </c>
      <c r="R314" s="1" t="s">
        <v>4</v>
      </c>
      <c r="S314" s="1" t="s">
        <v>10</v>
      </c>
      <c r="T314" s="1"/>
      <c r="U314" s="1"/>
      <c r="V314" s="1"/>
      <c r="W314" s="1" t="s">
        <v>27</v>
      </c>
      <c r="X314" s="1" t="s">
        <v>1795</v>
      </c>
      <c r="Y314" s="1" t="s">
        <v>1795</v>
      </c>
      <c r="Z314" s="1" t="s">
        <v>1796</v>
      </c>
      <c r="AA314" s="1" t="s">
        <v>1797</v>
      </c>
      <c r="AB314" s="1" t="s">
        <v>1798</v>
      </c>
      <c r="AC314" s="1" t="s">
        <v>1799</v>
      </c>
      <c r="AD314" s="1" t="s">
        <v>17</v>
      </c>
      <c r="AE314" s="1" t="s">
        <v>1800</v>
      </c>
      <c r="AF314" s="1" t="s">
        <v>19</v>
      </c>
      <c r="AG314" s="1" t="s">
        <v>19</v>
      </c>
      <c r="AH314" s="1" t="s">
        <v>1798</v>
      </c>
    </row>
    <row r="315" spans="2:34" ht="15">
      <c r="B315" s="4" t="s">
        <v>153</v>
      </c>
      <c r="C315" s="5">
        <v>43627</v>
      </c>
      <c r="D315" s="4" t="s">
        <v>154</v>
      </c>
      <c r="E315" s="4"/>
      <c r="F315" s="4" t="s">
        <v>3</v>
      </c>
      <c r="G315" s="4" t="s">
        <v>4</v>
      </c>
      <c r="H315" s="4" t="s">
        <v>119</v>
      </c>
      <c r="I315" s="5">
        <v>43626</v>
      </c>
      <c r="J315" s="6">
        <v>0.6865162037037037</v>
      </c>
      <c r="K315" s="5">
        <v>43630</v>
      </c>
      <c r="L315" s="4" t="s">
        <v>6</v>
      </c>
      <c r="M315" s="4"/>
      <c r="N315" s="4" t="s">
        <v>977</v>
      </c>
      <c r="O315" s="4" t="s">
        <v>978</v>
      </c>
      <c r="P315" s="4" t="s">
        <v>979</v>
      </c>
      <c r="Q315" s="4" t="s">
        <v>4</v>
      </c>
      <c r="R315" s="4" t="s">
        <v>4</v>
      </c>
      <c r="S315" s="4" t="s">
        <v>10</v>
      </c>
      <c r="T315" s="4"/>
      <c r="U315" s="4"/>
      <c r="V315" s="4"/>
      <c r="W315" s="4" t="s">
        <v>27</v>
      </c>
      <c r="X315" s="4" t="s">
        <v>1801</v>
      </c>
      <c r="Y315" s="4" t="s">
        <v>1801</v>
      </c>
      <c r="Z315" s="4" t="s">
        <v>1802</v>
      </c>
      <c r="AA315" s="4" t="s">
        <v>1803</v>
      </c>
      <c r="AB315" s="4" t="s">
        <v>1804</v>
      </c>
      <c r="AC315" s="4" t="s">
        <v>1805</v>
      </c>
      <c r="AD315" s="4" t="s">
        <v>17</v>
      </c>
      <c r="AE315" s="4" t="s">
        <v>1806</v>
      </c>
      <c r="AF315" s="4" t="s">
        <v>19</v>
      </c>
      <c r="AG315" s="4" t="s">
        <v>19</v>
      </c>
      <c r="AH315" s="4" t="s">
        <v>1804</v>
      </c>
    </row>
    <row r="316" spans="2:34" ht="15">
      <c r="B316" s="1" t="s">
        <v>153</v>
      </c>
      <c r="C316" s="2">
        <v>43627</v>
      </c>
      <c r="D316" s="1" t="s">
        <v>154</v>
      </c>
      <c r="E316" s="1"/>
      <c r="F316" s="1" t="s">
        <v>3</v>
      </c>
      <c r="G316" s="1" t="s">
        <v>4</v>
      </c>
      <c r="H316" s="1" t="s">
        <v>119</v>
      </c>
      <c r="I316" s="2">
        <v>43626</v>
      </c>
      <c r="J316" s="3">
        <v>0.6249652777777778</v>
      </c>
      <c r="K316" s="2">
        <v>43630</v>
      </c>
      <c r="L316" s="1" t="s">
        <v>6</v>
      </c>
      <c r="M316" s="1"/>
      <c r="N316" s="1" t="s">
        <v>110</v>
      </c>
      <c r="O316" s="1" t="s">
        <v>111</v>
      </c>
      <c r="P316" s="1" t="s">
        <v>112</v>
      </c>
      <c r="Q316" s="1" t="s">
        <v>4</v>
      </c>
      <c r="R316" s="1" t="s">
        <v>4</v>
      </c>
      <c r="S316" s="1" t="s">
        <v>10</v>
      </c>
      <c r="T316" s="1"/>
      <c r="U316" s="1"/>
      <c r="V316" s="1"/>
      <c r="W316" s="1" t="s">
        <v>27</v>
      </c>
      <c r="X316" s="1" t="s">
        <v>1807</v>
      </c>
      <c r="Y316" s="1" t="s">
        <v>1807</v>
      </c>
      <c r="Z316" s="1" t="s">
        <v>1776</v>
      </c>
      <c r="AA316" s="1" t="s">
        <v>1808</v>
      </c>
      <c r="AB316" s="1" t="s">
        <v>1809</v>
      </c>
      <c r="AC316" s="1" t="s">
        <v>1810</v>
      </c>
      <c r="AD316" s="1" t="s">
        <v>17</v>
      </c>
      <c r="AE316" s="1" t="s">
        <v>17</v>
      </c>
      <c r="AF316" s="1" t="s">
        <v>19</v>
      </c>
      <c r="AG316" s="1" t="s">
        <v>19</v>
      </c>
      <c r="AH316" s="1" t="s">
        <v>1809</v>
      </c>
    </row>
    <row r="317" spans="2:34" ht="15">
      <c r="B317" s="4" t="s">
        <v>153</v>
      </c>
      <c r="C317" s="5">
        <v>43627</v>
      </c>
      <c r="D317" s="4" t="s">
        <v>154</v>
      </c>
      <c r="E317" s="4"/>
      <c r="F317" s="4" t="s">
        <v>3</v>
      </c>
      <c r="G317" s="4" t="s">
        <v>4</v>
      </c>
      <c r="H317" s="4" t="s">
        <v>119</v>
      </c>
      <c r="I317" s="5">
        <v>43626</v>
      </c>
      <c r="J317" s="6">
        <v>0.48510416666666667</v>
      </c>
      <c r="K317" s="5">
        <v>43630</v>
      </c>
      <c r="L317" s="4" t="s">
        <v>6</v>
      </c>
      <c r="M317" s="4"/>
      <c r="N317" s="4" t="s">
        <v>214</v>
      </c>
      <c r="O317" s="4" t="s">
        <v>215</v>
      </c>
      <c r="P317" s="4" t="s">
        <v>216</v>
      </c>
      <c r="Q317" s="4" t="s">
        <v>4</v>
      </c>
      <c r="R317" s="4" t="s">
        <v>4</v>
      </c>
      <c r="S317" s="4" t="s">
        <v>10</v>
      </c>
      <c r="T317" s="4"/>
      <c r="U317" s="4"/>
      <c r="V317" s="4"/>
      <c r="W317" s="4" t="s">
        <v>27</v>
      </c>
      <c r="X317" s="4" t="s">
        <v>1811</v>
      </c>
      <c r="Y317" s="4" t="s">
        <v>1811</v>
      </c>
      <c r="Z317" s="4" t="s">
        <v>1812</v>
      </c>
      <c r="AA317" s="4" t="s">
        <v>1813</v>
      </c>
      <c r="AB317" s="4" t="s">
        <v>1814</v>
      </c>
      <c r="AC317" s="4" t="s">
        <v>1815</v>
      </c>
      <c r="AD317" s="4" t="s">
        <v>17</v>
      </c>
      <c r="AE317" s="4" t="s">
        <v>1816</v>
      </c>
      <c r="AF317" s="4" t="s">
        <v>19</v>
      </c>
      <c r="AG317" s="4" t="s">
        <v>19</v>
      </c>
      <c r="AH317" s="4" t="s">
        <v>1814</v>
      </c>
    </row>
    <row r="318" spans="2:34" ht="15">
      <c r="B318" s="1" t="s">
        <v>153</v>
      </c>
      <c r="C318" s="2">
        <v>43627</v>
      </c>
      <c r="D318" s="1" t="s">
        <v>154</v>
      </c>
      <c r="E318" s="1"/>
      <c r="F318" s="1" t="s">
        <v>3</v>
      </c>
      <c r="G318" s="1" t="s">
        <v>4</v>
      </c>
      <c r="H318" s="1" t="s">
        <v>90</v>
      </c>
      <c r="I318" s="2">
        <v>43626</v>
      </c>
      <c r="J318" s="3">
        <v>0.6571875</v>
      </c>
      <c r="K318" s="2">
        <v>43630</v>
      </c>
      <c r="L318" s="1" t="s">
        <v>6</v>
      </c>
      <c r="M318" s="1"/>
      <c r="N318" s="1" t="s">
        <v>326</v>
      </c>
      <c r="O318" s="1" t="s">
        <v>327</v>
      </c>
      <c r="P318" s="1" t="s">
        <v>328</v>
      </c>
      <c r="Q318" s="1" t="s">
        <v>4</v>
      </c>
      <c r="R318" s="1" t="s">
        <v>4</v>
      </c>
      <c r="S318" s="1" t="s">
        <v>10</v>
      </c>
      <c r="T318" s="1"/>
      <c r="U318" s="1"/>
      <c r="V318" s="1"/>
      <c r="W318" s="1" t="s">
        <v>27</v>
      </c>
      <c r="X318" s="1" t="s">
        <v>1817</v>
      </c>
      <c r="Y318" s="1" t="s">
        <v>1817</v>
      </c>
      <c r="Z318" s="1" t="s">
        <v>1818</v>
      </c>
      <c r="AA318" s="1" t="s">
        <v>1819</v>
      </c>
      <c r="AB318" s="1" t="s">
        <v>1820</v>
      </c>
      <c r="AC318" s="1" t="s">
        <v>1821</v>
      </c>
      <c r="AD318" s="1" t="s">
        <v>17</v>
      </c>
      <c r="AE318" s="1" t="s">
        <v>1822</v>
      </c>
      <c r="AF318" s="1" t="s">
        <v>19</v>
      </c>
      <c r="AG318" s="1" t="s">
        <v>19</v>
      </c>
      <c r="AH318" s="1" t="s">
        <v>1820</v>
      </c>
    </row>
    <row r="319" spans="2:34" ht="15">
      <c r="B319" s="4" t="s">
        <v>153</v>
      </c>
      <c r="C319" s="5">
        <v>43627</v>
      </c>
      <c r="D319" s="4" t="s">
        <v>154</v>
      </c>
      <c r="E319" s="4"/>
      <c r="F319" s="4" t="s">
        <v>3</v>
      </c>
      <c r="G319" s="4" t="s">
        <v>4</v>
      </c>
      <c r="H319" s="4" t="s">
        <v>119</v>
      </c>
      <c r="I319" s="5">
        <v>43626</v>
      </c>
      <c r="J319" s="6">
        <v>0.6241087962962963</v>
      </c>
      <c r="K319" s="5">
        <v>43630</v>
      </c>
      <c r="L319" s="4" t="s">
        <v>6</v>
      </c>
      <c r="M319" s="4"/>
      <c r="N319" s="4" t="s">
        <v>223</v>
      </c>
      <c r="O319" s="4" t="s">
        <v>224</v>
      </c>
      <c r="P319" s="4" t="s">
        <v>225</v>
      </c>
      <c r="Q319" s="4" t="s">
        <v>4</v>
      </c>
      <c r="R319" s="4" t="s">
        <v>4</v>
      </c>
      <c r="S319" s="4" t="s">
        <v>10</v>
      </c>
      <c r="T319" s="4"/>
      <c r="U319" s="4"/>
      <c r="V319" s="4"/>
      <c r="W319" s="4" t="s">
        <v>27</v>
      </c>
      <c r="X319" s="4" t="s">
        <v>543</v>
      </c>
      <c r="Y319" s="4" t="s">
        <v>543</v>
      </c>
      <c r="Z319" s="4" t="s">
        <v>1823</v>
      </c>
      <c r="AA319" s="4" t="s">
        <v>1824</v>
      </c>
      <c r="AB319" s="4" t="s">
        <v>1825</v>
      </c>
      <c r="AC319" s="4" t="s">
        <v>1826</v>
      </c>
      <c r="AD319" s="4" t="s">
        <v>17</v>
      </c>
      <c r="AE319" s="4" t="s">
        <v>1827</v>
      </c>
      <c r="AF319" s="4" t="s">
        <v>19</v>
      </c>
      <c r="AG319" s="4" t="s">
        <v>19</v>
      </c>
      <c r="AH319" s="4" t="s">
        <v>1825</v>
      </c>
    </row>
    <row r="320" spans="2:34" ht="15">
      <c r="B320" s="1" t="s">
        <v>153</v>
      </c>
      <c r="C320" s="2">
        <v>43627</v>
      </c>
      <c r="D320" s="1" t="s">
        <v>154</v>
      </c>
      <c r="E320" s="1"/>
      <c r="F320" s="1" t="s">
        <v>3</v>
      </c>
      <c r="G320" s="1" t="s">
        <v>4</v>
      </c>
      <c r="H320" s="1" t="s">
        <v>119</v>
      </c>
      <c r="I320" s="2">
        <v>43626</v>
      </c>
      <c r="J320" s="3">
        <v>0.6443287037037037</v>
      </c>
      <c r="K320" s="2">
        <v>43630</v>
      </c>
      <c r="L320" s="1" t="s">
        <v>6</v>
      </c>
      <c r="M320" s="1"/>
      <c r="N320" s="1" t="s">
        <v>297</v>
      </c>
      <c r="O320" s="1" t="s">
        <v>298</v>
      </c>
      <c r="P320" s="1" t="s">
        <v>299</v>
      </c>
      <c r="Q320" s="1" t="s">
        <v>4</v>
      </c>
      <c r="R320" s="1" t="s">
        <v>4</v>
      </c>
      <c r="S320" s="1" t="s">
        <v>10</v>
      </c>
      <c r="T320" s="1"/>
      <c r="U320" s="1"/>
      <c r="V320" s="1"/>
      <c r="W320" s="1" t="s">
        <v>27</v>
      </c>
      <c r="X320" s="1" t="s">
        <v>1828</v>
      </c>
      <c r="Y320" s="1" t="s">
        <v>1828</v>
      </c>
      <c r="Z320" s="1" t="s">
        <v>1829</v>
      </c>
      <c r="AA320" s="1" t="s">
        <v>1830</v>
      </c>
      <c r="AB320" s="1" t="s">
        <v>1831</v>
      </c>
      <c r="AC320" s="1" t="s">
        <v>1832</v>
      </c>
      <c r="AD320" s="1" t="s">
        <v>17</v>
      </c>
      <c r="AE320" s="1" t="s">
        <v>1833</v>
      </c>
      <c r="AF320" s="1" t="s">
        <v>19</v>
      </c>
      <c r="AG320" s="1" t="s">
        <v>19</v>
      </c>
      <c r="AH320" s="1" t="s">
        <v>1831</v>
      </c>
    </row>
    <row r="321" spans="2:34" ht="15">
      <c r="B321" s="4" t="s">
        <v>153</v>
      </c>
      <c r="C321" s="5">
        <v>43627</v>
      </c>
      <c r="D321" s="4" t="s">
        <v>154</v>
      </c>
      <c r="E321" s="4"/>
      <c r="F321" s="4" t="s">
        <v>3</v>
      </c>
      <c r="G321" s="4" t="s">
        <v>4</v>
      </c>
      <c r="H321" s="4" t="s">
        <v>786</v>
      </c>
      <c r="I321" s="5">
        <v>43626</v>
      </c>
      <c r="J321" s="6">
        <v>0.45902777777777776</v>
      </c>
      <c r="K321" s="5">
        <v>43630</v>
      </c>
      <c r="L321" s="4" t="s">
        <v>6</v>
      </c>
      <c r="M321" s="4"/>
      <c r="N321" s="4" t="s">
        <v>382</v>
      </c>
      <c r="O321" s="4" t="s">
        <v>383</v>
      </c>
      <c r="P321" s="4" t="s">
        <v>1387</v>
      </c>
      <c r="Q321" s="4" t="s">
        <v>4</v>
      </c>
      <c r="R321" s="4" t="s">
        <v>4</v>
      </c>
      <c r="S321" s="4" t="s">
        <v>10</v>
      </c>
      <c r="T321" s="4"/>
      <c r="U321" s="4"/>
      <c r="V321" s="4"/>
      <c r="W321" s="4" t="s">
        <v>27</v>
      </c>
      <c r="X321" s="4" t="s">
        <v>1834</v>
      </c>
      <c r="Y321" s="4" t="s">
        <v>1834</v>
      </c>
      <c r="Z321" s="4" t="s">
        <v>1835</v>
      </c>
      <c r="AA321" s="4" t="s">
        <v>1836</v>
      </c>
      <c r="AB321" s="4" t="s">
        <v>1837</v>
      </c>
      <c r="AC321" s="4" t="s">
        <v>1838</v>
      </c>
      <c r="AD321" s="4" t="s">
        <v>17</v>
      </c>
      <c r="AE321" s="4" t="s">
        <v>1839</v>
      </c>
      <c r="AF321" s="4" t="s">
        <v>19</v>
      </c>
      <c r="AG321" s="4" t="s">
        <v>19</v>
      </c>
      <c r="AH321" s="4" t="s">
        <v>1837</v>
      </c>
    </row>
    <row r="322" spans="2:34" ht="15">
      <c r="B322" s="1" t="s">
        <v>153</v>
      </c>
      <c r="C322" s="2">
        <v>43627</v>
      </c>
      <c r="D322" s="1" t="s">
        <v>154</v>
      </c>
      <c r="E322" s="1"/>
      <c r="F322" s="1" t="s">
        <v>3</v>
      </c>
      <c r="G322" s="1" t="s">
        <v>4</v>
      </c>
      <c r="H322" s="1" t="s">
        <v>119</v>
      </c>
      <c r="I322" s="2">
        <v>43626</v>
      </c>
      <c r="J322" s="3">
        <v>0.5404398148148148</v>
      </c>
      <c r="K322" s="2">
        <v>43630</v>
      </c>
      <c r="L322" s="1" t="s">
        <v>6</v>
      </c>
      <c r="M322" s="1"/>
      <c r="N322" s="1" t="s">
        <v>316</v>
      </c>
      <c r="O322" s="1" t="s">
        <v>317</v>
      </c>
      <c r="P322" s="1" t="s">
        <v>318</v>
      </c>
      <c r="Q322" s="1" t="s">
        <v>4</v>
      </c>
      <c r="R322" s="1" t="s">
        <v>4</v>
      </c>
      <c r="S322" s="1" t="s">
        <v>10</v>
      </c>
      <c r="T322" s="1"/>
      <c r="U322" s="1"/>
      <c r="V322" s="1"/>
      <c r="W322" s="1" t="s">
        <v>27</v>
      </c>
      <c r="X322" s="1" t="s">
        <v>1840</v>
      </c>
      <c r="Y322" s="1" t="s">
        <v>1840</v>
      </c>
      <c r="Z322" s="1" t="s">
        <v>1841</v>
      </c>
      <c r="AA322" s="1" t="s">
        <v>1842</v>
      </c>
      <c r="AB322" s="1" t="s">
        <v>1843</v>
      </c>
      <c r="AC322" s="1" t="s">
        <v>1844</v>
      </c>
      <c r="AD322" s="1" t="s">
        <v>17</v>
      </c>
      <c r="AE322" s="1" t="s">
        <v>1845</v>
      </c>
      <c r="AF322" s="1" t="s">
        <v>19</v>
      </c>
      <c r="AG322" s="1" t="s">
        <v>19</v>
      </c>
      <c r="AH322" s="1" t="s">
        <v>1843</v>
      </c>
    </row>
    <row r="323" spans="2:34" ht="15">
      <c r="B323" s="4" t="s">
        <v>153</v>
      </c>
      <c r="C323" s="5">
        <v>43627</v>
      </c>
      <c r="D323" s="4" t="s">
        <v>154</v>
      </c>
      <c r="E323" s="4"/>
      <c r="F323" s="4" t="s">
        <v>3</v>
      </c>
      <c r="G323" s="4" t="s">
        <v>4</v>
      </c>
      <c r="H323" s="4" t="s">
        <v>119</v>
      </c>
      <c r="I323" s="5">
        <v>43627</v>
      </c>
      <c r="J323" s="6">
        <v>0.4436574074074074</v>
      </c>
      <c r="K323" s="5">
        <v>43630</v>
      </c>
      <c r="L323" s="4" t="s">
        <v>6</v>
      </c>
      <c r="M323" s="4"/>
      <c r="N323" s="4" t="s">
        <v>977</v>
      </c>
      <c r="O323" s="4" t="s">
        <v>978</v>
      </c>
      <c r="P323" s="4" t="s">
        <v>979</v>
      </c>
      <c r="Q323" s="4" t="s">
        <v>4</v>
      </c>
      <c r="R323" s="4" t="s">
        <v>4</v>
      </c>
      <c r="S323" s="4" t="s">
        <v>10</v>
      </c>
      <c r="T323" s="4"/>
      <c r="U323" s="4"/>
      <c r="V323" s="4"/>
      <c r="W323" s="4" t="s">
        <v>27</v>
      </c>
      <c r="X323" s="4" t="s">
        <v>1846</v>
      </c>
      <c r="Y323" s="4" t="s">
        <v>1846</v>
      </c>
      <c r="Z323" s="4" t="s">
        <v>1847</v>
      </c>
      <c r="AA323" s="4" t="s">
        <v>1848</v>
      </c>
      <c r="AB323" s="4" t="s">
        <v>1849</v>
      </c>
      <c r="AC323" s="4" t="s">
        <v>1850</v>
      </c>
      <c r="AD323" s="4" t="s">
        <v>17</v>
      </c>
      <c r="AE323" s="4" t="s">
        <v>1851</v>
      </c>
      <c r="AF323" s="4" t="s">
        <v>19</v>
      </c>
      <c r="AG323" s="4" t="s">
        <v>19</v>
      </c>
      <c r="AH323" s="4" t="s">
        <v>1849</v>
      </c>
    </row>
    <row r="324" spans="2:34" ht="15">
      <c r="B324" s="1" t="s">
        <v>1524</v>
      </c>
      <c r="C324" s="2">
        <v>43628</v>
      </c>
      <c r="D324" s="1" t="s">
        <v>1</v>
      </c>
      <c r="E324" s="1" t="s">
        <v>118</v>
      </c>
      <c r="F324" s="1" t="s">
        <v>3</v>
      </c>
      <c r="G324" s="1" t="s">
        <v>4</v>
      </c>
      <c r="H324" s="1" t="s">
        <v>119</v>
      </c>
      <c r="I324" s="2">
        <v>43628</v>
      </c>
      <c r="J324" s="3">
        <v>0.4463773148148148</v>
      </c>
      <c r="K324" s="2">
        <v>43630</v>
      </c>
      <c r="L324" s="1" t="s">
        <v>6</v>
      </c>
      <c r="M324" s="1"/>
      <c r="N324" s="1" t="s">
        <v>136</v>
      </c>
      <c r="O324" s="1" t="s">
        <v>137</v>
      </c>
      <c r="P324" s="1" t="s">
        <v>1852</v>
      </c>
      <c r="Q324" s="1" t="s">
        <v>4</v>
      </c>
      <c r="R324" s="1" t="s">
        <v>4</v>
      </c>
      <c r="S324" s="1" t="s">
        <v>10</v>
      </c>
      <c r="T324" s="1"/>
      <c r="U324" s="1"/>
      <c r="V324" s="1"/>
      <c r="W324" s="1" t="s">
        <v>27</v>
      </c>
      <c r="X324" s="1" t="s">
        <v>1053</v>
      </c>
      <c r="Y324" s="1" t="s">
        <v>1053</v>
      </c>
      <c r="Z324" s="1" t="s">
        <v>1853</v>
      </c>
      <c r="AA324" s="1" t="s">
        <v>1854</v>
      </c>
      <c r="AB324" s="1" t="s">
        <v>1855</v>
      </c>
      <c r="AC324" s="1" t="s">
        <v>1856</v>
      </c>
      <c r="AD324" s="1" t="s">
        <v>17</v>
      </c>
      <c r="AE324" s="1" t="s">
        <v>17</v>
      </c>
      <c r="AF324" s="1" t="s">
        <v>19</v>
      </c>
      <c r="AG324" s="1" t="s">
        <v>19</v>
      </c>
      <c r="AH324" s="1" t="s">
        <v>1855</v>
      </c>
    </row>
    <row r="325" spans="2:34" ht="15">
      <c r="B325" s="4" t="s">
        <v>153</v>
      </c>
      <c r="C325" s="5">
        <v>43628</v>
      </c>
      <c r="D325" s="4" t="s">
        <v>154</v>
      </c>
      <c r="E325" s="4" t="s">
        <v>1857</v>
      </c>
      <c r="F325" s="4" t="s">
        <v>3</v>
      </c>
      <c r="G325" s="4" t="s">
        <v>4</v>
      </c>
      <c r="H325" s="4" t="s">
        <v>119</v>
      </c>
      <c r="I325" s="5">
        <v>43627</v>
      </c>
      <c r="J325" s="6">
        <v>0.5551157407407408</v>
      </c>
      <c r="K325" s="5">
        <v>43630</v>
      </c>
      <c r="L325" s="4" t="s">
        <v>6</v>
      </c>
      <c r="M325" s="4"/>
      <c r="N325" s="4" t="s">
        <v>250</v>
      </c>
      <c r="O325" s="4" t="s">
        <v>251</v>
      </c>
      <c r="P325" s="4" t="s">
        <v>1858</v>
      </c>
      <c r="Q325" s="4" t="s">
        <v>4</v>
      </c>
      <c r="R325" s="4" t="s">
        <v>4</v>
      </c>
      <c r="S325" s="4" t="s">
        <v>10</v>
      </c>
      <c r="T325" s="4"/>
      <c r="U325" s="4"/>
      <c r="V325" s="4"/>
      <c r="W325" s="4" t="s">
        <v>27</v>
      </c>
      <c r="X325" s="4" t="s">
        <v>1859</v>
      </c>
      <c r="Y325" s="4" t="s">
        <v>1859</v>
      </c>
      <c r="Z325" s="4" t="s">
        <v>1860</v>
      </c>
      <c r="AA325" s="4" t="s">
        <v>1861</v>
      </c>
      <c r="AB325" s="4" t="s">
        <v>1862</v>
      </c>
      <c r="AC325" s="4" t="s">
        <v>1863</v>
      </c>
      <c r="AD325" s="4" t="s">
        <v>17</v>
      </c>
      <c r="AE325" s="4" t="s">
        <v>1864</v>
      </c>
      <c r="AF325" s="4" t="s">
        <v>19</v>
      </c>
      <c r="AG325" s="4" t="s">
        <v>19</v>
      </c>
      <c r="AH325" s="4" t="s">
        <v>1862</v>
      </c>
    </row>
    <row r="326" spans="2:34" ht="15">
      <c r="B326" s="1" t="s">
        <v>153</v>
      </c>
      <c r="C326" s="2">
        <v>43629</v>
      </c>
      <c r="D326" s="1" t="s">
        <v>154</v>
      </c>
      <c r="E326" s="1" t="s">
        <v>1865</v>
      </c>
      <c r="F326" s="1" t="s">
        <v>3</v>
      </c>
      <c r="G326" s="1" t="s">
        <v>4</v>
      </c>
      <c r="H326" s="1" t="s">
        <v>1277</v>
      </c>
      <c r="I326" s="2">
        <v>43628</v>
      </c>
      <c r="J326" s="3">
        <v>0.6479166666666667</v>
      </c>
      <c r="K326" s="2">
        <v>43630</v>
      </c>
      <c r="L326" s="1" t="s">
        <v>6</v>
      </c>
      <c r="M326" s="1"/>
      <c r="N326" s="1" t="s">
        <v>1407</v>
      </c>
      <c r="O326" s="1" t="s">
        <v>1408</v>
      </c>
      <c r="P326" s="1" t="s">
        <v>1550</v>
      </c>
      <c r="Q326" s="1" t="s">
        <v>4</v>
      </c>
      <c r="R326" s="1" t="s">
        <v>4</v>
      </c>
      <c r="S326" s="1" t="s">
        <v>10</v>
      </c>
      <c r="T326" s="1"/>
      <c r="U326" s="1"/>
      <c r="V326" s="1"/>
      <c r="W326" s="1" t="s">
        <v>27</v>
      </c>
      <c r="X326" s="1" t="s">
        <v>1866</v>
      </c>
      <c r="Y326" s="1" t="s">
        <v>1866</v>
      </c>
      <c r="Z326" s="1" t="s">
        <v>1552</v>
      </c>
      <c r="AA326" s="1" t="s">
        <v>1867</v>
      </c>
      <c r="AB326" s="1" t="s">
        <v>1868</v>
      </c>
      <c r="AC326" s="1" t="s">
        <v>1869</v>
      </c>
      <c r="AD326" s="1" t="s">
        <v>17</v>
      </c>
      <c r="AE326" s="1" t="s">
        <v>17</v>
      </c>
      <c r="AF326" s="1" t="s">
        <v>19</v>
      </c>
      <c r="AG326" s="1" t="s">
        <v>19</v>
      </c>
      <c r="AH326" s="1" t="s">
        <v>1868</v>
      </c>
    </row>
    <row r="327" spans="2:34" ht="15">
      <c r="B327" s="4" t="s">
        <v>1524</v>
      </c>
      <c r="C327" s="5">
        <v>43630</v>
      </c>
      <c r="D327" s="4" t="s">
        <v>1</v>
      </c>
      <c r="E327" s="4" t="s">
        <v>435</v>
      </c>
      <c r="F327" s="4" t="s">
        <v>3</v>
      </c>
      <c r="G327" s="4" t="s">
        <v>4</v>
      </c>
      <c r="H327" s="4" t="s">
        <v>1870</v>
      </c>
      <c r="I327" s="5">
        <v>43629</v>
      </c>
      <c r="J327" s="6">
        <v>0.4750347222222222</v>
      </c>
      <c r="K327" s="5">
        <v>43633</v>
      </c>
      <c r="L327" s="4" t="s">
        <v>6</v>
      </c>
      <c r="M327" s="4"/>
      <c r="N327" s="4" t="s">
        <v>316</v>
      </c>
      <c r="O327" s="4" t="s">
        <v>317</v>
      </c>
      <c r="P327" s="4" t="s">
        <v>1871</v>
      </c>
      <c r="Q327" s="4" t="s">
        <v>4</v>
      </c>
      <c r="R327" s="4" t="s">
        <v>4</v>
      </c>
      <c r="S327" s="4" t="s">
        <v>10</v>
      </c>
      <c r="T327" s="4"/>
      <c r="U327" s="4"/>
      <c r="V327" s="4"/>
      <c r="W327" s="4" t="s">
        <v>27</v>
      </c>
      <c r="X327" s="4" t="s">
        <v>1872</v>
      </c>
      <c r="Y327" s="4" t="s">
        <v>1872</v>
      </c>
      <c r="Z327" s="4" t="s">
        <v>1873</v>
      </c>
      <c r="AA327" s="4" t="s">
        <v>1874</v>
      </c>
      <c r="AB327" s="4" t="s">
        <v>1875</v>
      </c>
      <c r="AC327" s="4" t="s">
        <v>1876</v>
      </c>
      <c r="AD327" s="4" t="s">
        <v>17</v>
      </c>
      <c r="AE327" s="4" t="s">
        <v>1877</v>
      </c>
      <c r="AF327" s="4" t="s">
        <v>19</v>
      </c>
      <c r="AG327" s="4" t="s">
        <v>19</v>
      </c>
      <c r="AH327" s="4" t="s">
        <v>1875</v>
      </c>
    </row>
    <row r="328" spans="2:34" ht="15">
      <c r="B328" s="1" t="s">
        <v>1524</v>
      </c>
      <c r="C328" s="2">
        <v>43633</v>
      </c>
      <c r="D328" s="1" t="s">
        <v>1</v>
      </c>
      <c r="E328" s="1" t="s">
        <v>435</v>
      </c>
      <c r="F328" s="1" t="s">
        <v>3</v>
      </c>
      <c r="G328" s="1" t="s">
        <v>85</v>
      </c>
      <c r="H328" s="1" t="s">
        <v>1870</v>
      </c>
      <c r="I328" s="2">
        <v>43629</v>
      </c>
      <c r="J328" s="3">
        <v>0.4750347222222222</v>
      </c>
      <c r="K328" s="2">
        <v>43633</v>
      </c>
      <c r="L328" s="1" t="s">
        <v>6</v>
      </c>
      <c r="M328" s="1"/>
      <c r="N328" s="1" t="s">
        <v>316</v>
      </c>
      <c r="O328" s="1" t="s">
        <v>317</v>
      </c>
      <c r="P328" s="1" t="s">
        <v>1871</v>
      </c>
      <c r="Q328" s="1" t="s">
        <v>4</v>
      </c>
      <c r="R328" s="1" t="s">
        <v>4</v>
      </c>
      <c r="S328" s="1" t="s">
        <v>10</v>
      </c>
      <c r="T328" s="1"/>
      <c r="U328" s="1"/>
      <c r="V328" s="1"/>
      <c r="W328" s="1" t="s">
        <v>27</v>
      </c>
      <c r="X328" s="1" t="s">
        <v>1872</v>
      </c>
      <c r="Y328" s="1" t="s">
        <v>1872</v>
      </c>
      <c r="Z328" s="1" t="s">
        <v>1873</v>
      </c>
      <c r="AA328" s="1" t="s">
        <v>1874</v>
      </c>
      <c r="AB328" s="1" t="s">
        <v>1875</v>
      </c>
      <c r="AC328" s="1" t="s">
        <v>1876</v>
      </c>
      <c r="AD328" s="1" t="s">
        <v>17</v>
      </c>
      <c r="AE328" s="1" t="s">
        <v>1877</v>
      </c>
      <c r="AF328" s="1" t="s">
        <v>19</v>
      </c>
      <c r="AG328" s="1" t="s">
        <v>19</v>
      </c>
      <c r="AH328" s="1" t="s">
        <v>1875</v>
      </c>
    </row>
    <row r="329" spans="2:34" ht="15">
      <c r="B329" s="4" t="s">
        <v>1524</v>
      </c>
      <c r="C329" s="5">
        <v>43633</v>
      </c>
      <c r="D329" s="4" t="s">
        <v>1</v>
      </c>
      <c r="E329" s="4" t="s">
        <v>488</v>
      </c>
      <c r="F329" s="4" t="s">
        <v>3</v>
      </c>
      <c r="G329" s="4" t="s">
        <v>4</v>
      </c>
      <c r="H329" s="4" t="s">
        <v>1870</v>
      </c>
      <c r="I329" s="5">
        <v>43629</v>
      </c>
      <c r="J329" s="6">
        <v>0.4750347222222222</v>
      </c>
      <c r="K329" s="5">
        <v>43633</v>
      </c>
      <c r="L329" s="4" t="s">
        <v>6</v>
      </c>
      <c r="M329" s="4"/>
      <c r="N329" s="4" t="s">
        <v>316</v>
      </c>
      <c r="O329" s="4" t="s">
        <v>317</v>
      </c>
      <c r="P329" s="4" t="s">
        <v>1871</v>
      </c>
      <c r="Q329" s="4" t="s">
        <v>4</v>
      </c>
      <c r="R329" s="4" t="s">
        <v>4</v>
      </c>
      <c r="S329" s="4" t="s">
        <v>10</v>
      </c>
      <c r="T329" s="4"/>
      <c r="U329" s="4"/>
      <c r="V329" s="4"/>
      <c r="W329" s="4" t="s">
        <v>27</v>
      </c>
      <c r="X329" s="4" t="s">
        <v>1878</v>
      </c>
      <c r="Y329" s="4" t="s">
        <v>1878</v>
      </c>
      <c r="Z329" s="4" t="s">
        <v>1873</v>
      </c>
      <c r="AA329" s="4" t="s">
        <v>1879</v>
      </c>
      <c r="AB329" s="4" t="s">
        <v>1880</v>
      </c>
      <c r="AC329" s="4" t="s">
        <v>1881</v>
      </c>
      <c r="AD329" s="4" t="s">
        <v>17</v>
      </c>
      <c r="AE329" s="4" t="s">
        <v>1882</v>
      </c>
      <c r="AF329" s="4" t="s">
        <v>19</v>
      </c>
      <c r="AG329" s="4" t="s">
        <v>19</v>
      </c>
      <c r="AH329" s="4" t="s">
        <v>1880</v>
      </c>
    </row>
    <row r="330" spans="2:34" ht="15">
      <c r="B330" s="1" t="s">
        <v>1524</v>
      </c>
      <c r="C330" s="2">
        <v>43633</v>
      </c>
      <c r="D330" s="1" t="s">
        <v>1</v>
      </c>
      <c r="E330" s="1" t="s">
        <v>526</v>
      </c>
      <c r="F330" s="1" t="s">
        <v>3</v>
      </c>
      <c r="G330" s="1" t="s">
        <v>4</v>
      </c>
      <c r="H330" s="1" t="s">
        <v>632</v>
      </c>
      <c r="I330" s="2">
        <v>43630</v>
      </c>
      <c r="J330" s="3">
        <v>0.6875</v>
      </c>
      <c r="K330" s="2">
        <v>43634</v>
      </c>
      <c r="L330" s="1" t="s">
        <v>6</v>
      </c>
      <c r="M330" s="1"/>
      <c r="N330" s="1" t="s">
        <v>316</v>
      </c>
      <c r="O330" s="1" t="s">
        <v>317</v>
      </c>
      <c r="P330" s="1" t="s">
        <v>318</v>
      </c>
      <c r="Q330" s="1" t="s">
        <v>4</v>
      </c>
      <c r="R330" s="1" t="s">
        <v>4</v>
      </c>
      <c r="S330" s="1" t="s">
        <v>10</v>
      </c>
      <c r="T330" s="1"/>
      <c r="U330" s="1"/>
      <c r="V330" s="1"/>
      <c r="W330" s="1" t="s">
        <v>27</v>
      </c>
      <c r="X330" s="1" t="s">
        <v>1883</v>
      </c>
      <c r="Y330" s="1" t="s">
        <v>1883</v>
      </c>
      <c r="Z330" s="1" t="s">
        <v>1884</v>
      </c>
      <c r="AA330" s="1" t="s">
        <v>1885</v>
      </c>
      <c r="AB330" s="1" t="s">
        <v>1886</v>
      </c>
      <c r="AC330" s="1" t="s">
        <v>1887</v>
      </c>
      <c r="AD330" s="1" t="s">
        <v>17</v>
      </c>
      <c r="AE330" s="1" t="s">
        <v>1888</v>
      </c>
      <c r="AF330" s="1" t="s">
        <v>19</v>
      </c>
      <c r="AG330" s="1" t="s">
        <v>19</v>
      </c>
      <c r="AH330" s="1" t="s">
        <v>1886</v>
      </c>
    </row>
    <row r="331" spans="2:34" ht="15">
      <c r="B331" s="4" t="s">
        <v>153</v>
      </c>
      <c r="C331" s="5">
        <v>43633</v>
      </c>
      <c r="D331" s="4" t="s">
        <v>154</v>
      </c>
      <c r="E331" s="4" t="s">
        <v>1865</v>
      </c>
      <c r="F331" s="4" t="s">
        <v>3</v>
      </c>
      <c r="G331" s="4" t="s">
        <v>85</v>
      </c>
      <c r="H331" s="4" t="s">
        <v>1277</v>
      </c>
      <c r="I331" s="5">
        <v>43628</v>
      </c>
      <c r="J331" s="6">
        <v>0.6479166666666667</v>
      </c>
      <c r="K331" s="5">
        <v>43630</v>
      </c>
      <c r="L331" s="4" t="s">
        <v>6</v>
      </c>
      <c r="M331" s="4"/>
      <c r="N331" s="4" t="s">
        <v>1407</v>
      </c>
      <c r="O331" s="4" t="s">
        <v>1408</v>
      </c>
      <c r="P331" s="4" t="s">
        <v>1550</v>
      </c>
      <c r="Q331" s="4" t="s">
        <v>4</v>
      </c>
      <c r="R331" s="4" t="s">
        <v>4</v>
      </c>
      <c r="S331" s="4" t="s">
        <v>10</v>
      </c>
      <c r="T331" s="4"/>
      <c r="U331" s="4"/>
      <c r="V331" s="4"/>
      <c r="W331" s="4" t="s">
        <v>27</v>
      </c>
      <c r="X331" s="4" t="s">
        <v>1866</v>
      </c>
      <c r="Y331" s="4" t="s">
        <v>1866</v>
      </c>
      <c r="Z331" s="4" t="s">
        <v>1552</v>
      </c>
      <c r="AA331" s="4" t="s">
        <v>1867</v>
      </c>
      <c r="AB331" s="4" t="s">
        <v>1868</v>
      </c>
      <c r="AC331" s="4" t="s">
        <v>1869</v>
      </c>
      <c r="AD331" s="4" t="s">
        <v>17</v>
      </c>
      <c r="AE331" s="4" t="s">
        <v>17</v>
      </c>
      <c r="AF331" s="4" t="s">
        <v>19</v>
      </c>
      <c r="AG331" s="4" t="s">
        <v>19</v>
      </c>
      <c r="AH331" s="4" t="s">
        <v>1868</v>
      </c>
    </row>
    <row r="332" spans="2:34" ht="15">
      <c r="B332" s="1" t="s">
        <v>153</v>
      </c>
      <c r="C332" s="2">
        <v>43633</v>
      </c>
      <c r="D332" s="1" t="s">
        <v>154</v>
      </c>
      <c r="E332" s="1" t="s">
        <v>1598</v>
      </c>
      <c r="F332" s="1" t="s">
        <v>3</v>
      </c>
      <c r="G332" s="1" t="s">
        <v>4</v>
      </c>
      <c r="H332" s="1" t="s">
        <v>1614</v>
      </c>
      <c r="I332" s="2">
        <v>43630</v>
      </c>
      <c r="J332" s="3">
        <v>0.5208333333333334</v>
      </c>
      <c r="K332" s="2">
        <v>43634</v>
      </c>
      <c r="L332" s="1" t="s">
        <v>6</v>
      </c>
      <c r="M332" s="1"/>
      <c r="N332" s="1" t="s">
        <v>1557</v>
      </c>
      <c r="O332" s="1" t="s">
        <v>1574</v>
      </c>
      <c r="P332" s="1" t="s">
        <v>1559</v>
      </c>
      <c r="Q332" s="1" t="s">
        <v>4</v>
      </c>
      <c r="R332" s="1" t="s">
        <v>4</v>
      </c>
      <c r="S332" s="1" t="s">
        <v>10</v>
      </c>
      <c r="T332" s="1"/>
      <c r="U332" s="1"/>
      <c r="V332" s="1"/>
      <c r="W332" s="1" t="s">
        <v>27</v>
      </c>
      <c r="X332" s="1" t="s">
        <v>1889</v>
      </c>
      <c r="Y332" s="1" t="s">
        <v>1889</v>
      </c>
      <c r="Z332" s="1" t="s">
        <v>1594</v>
      </c>
      <c r="AA332" s="1" t="s">
        <v>1890</v>
      </c>
      <c r="AB332" s="1" t="s">
        <v>1891</v>
      </c>
      <c r="AC332" s="1" t="s">
        <v>1892</v>
      </c>
      <c r="AD332" s="1" t="s">
        <v>17</v>
      </c>
      <c r="AE332" s="1" t="s">
        <v>17</v>
      </c>
      <c r="AF332" s="1" t="s">
        <v>19</v>
      </c>
      <c r="AG332" s="1" t="s">
        <v>19</v>
      </c>
      <c r="AH332" s="1" t="s">
        <v>1891</v>
      </c>
    </row>
    <row r="333" spans="2:34" ht="15">
      <c r="B333" s="4" t="s">
        <v>153</v>
      </c>
      <c r="C333" s="5">
        <v>43633</v>
      </c>
      <c r="D333" s="4" t="s">
        <v>154</v>
      </c>
      <c r="E333" s="4" t="s">
        <v>1893</v>
      </c>
      <c r="F333" s="4" t="s">
        <v>3</v>
      </c>
      <c r="G333" s="4" t="s">
        <v>4</v>
      </c>
      <c r="H333" s="4" t="s">
        <v>119</v>
      </c>
      <c r="I333" s="5">
        <v>43630</v>
      </c>
      <c r="J333" s="6">
        <v>0.6855092592592592</v>
      </c>
      <c r="K333" s="5">
        <v>43634</v>
      </c>
      <c r="L333" s="4" t="s">
        <v>6</v>
      </c>
      <c r="M333" s="4"/>
      <c r="N333" s="4" t="s">
        <v>450</v>
      </c>
      <c r="O333" s="4" t="s">
        <v>1894</v>
      </c>
      <c r="P333" s="4" t="s">
        <v>452</v>
      </c>
      <c r="Q333" s="4" t="s">
        <v>4</v>
      </c>
      <c r="R333" s="4" t="s">
        <v>4</v>
      </c>
      <c r="S333" s="4" t="s">
        <v>10</v>
      </c>
      <c r="T333" s="4"/>
      <c r="U333" s="4"/>
      <c r="V333" s="4"/>
      <c r="W333" s="4" t="s">
        <v>27</v>
      </c>
      <c r="X333" s="4" t="s">
        <v>1572</v>
      </c>
      <c r="Y333" s="4" t="s">
        <v>1572</v>
      </c>
      <c r="Z333" s="4" t="s">
        <v>1539</v>
      </c>
      <c r="AA333" s="4" t="s">
        <v>1895</v>
      </c>
      <c r="AB333" s="4" t="s">
        <v>1896</v>
      </c>
      <c r="AC333" s="4" t="s">
        <v>1897</v>
      </c>
      <c r="AD333" s="4" t="s">
        <v>17</v>
      </c>
      <c r="AE333" s="4" t="s">
        <v>17</v>
      </c>
      <c r="AF333" s="4" t="s">
        <v>19</v>
      </c>
      <c r="AG333" s="4" t="s">
        <v>19</v>
      </c>
      <c r="AH333" s="4" t="s">
        <v>1896</v>
      </c>
    </row>
    <row r="334" spans="2:34" ht="15">
      <c r="B334" s="1" t="s">
        <v>153</v>
      </c>
      <c r="C334" s="2">
        <v>43633</v>
      </c>
      <c r="D334" s="1" t="s">
        <v>154</v>
      </c>
      <c r="E334" s="1" t="s">
        <v>1898</v>
      </c>
      <c r="F334" s="1" t="s">
        <v>3</v>
      </c>
      <c r="G334" s="1" t="s">
        <v>4</v>
      </c>
      <c r="H334" s="1" t="s">
        <v>632</v>
      </c>
      <c r="I334" s="2">
        <v>43630</v>
      </c>
      <c r="J334" s="3">
        <v>0.6875</v>
      </c>
      <c r="K334" s="2">
        <v>43634</v>
      </c>
      <c r="L334" s="1" t="s">
        <v>6</v>
      </c>
      <c r="M334" s="1"/>
      <c r="N334" s="1" t="s">
        <v>316</v>
      </c>
      <c r="O334" s="1" t="s">
        <v>317</v>
      </c>
      <c r="P334" s="1" t="s">
        <v>318</v>
      </c>
      <c r="Q334" s="1" t="s">
        <v>4</v>
      </c>
      <c r="R334" s="1" t="s">
        <v>4</v>
      </c>
      <c r="S334" s="1" t="s">
        <v>10</v>
      </c>
      <c r="T334" s="1"/>
      <c r="U334" s="1"/>
      <c r="V334" s="1"/>
      <c r="W334" s="1" t="s">
        <v>27</v>
      </c>
      <c r="X334" s="1" t="s">
        <v>1899</v>
      </c>
      <c r="Y334" s="1" t="s">
        <v>1899</v>
      </c>
      <c r="Z334" s="1" t="s">
        <v>1884</v>
      </c>
      <c r="AA334" s="1" t="s">
        <v>1900</v>
      </c>
      <c r="AB334" s="1" t="s">
        <v>1901</v>
      </c>
      <c r="AC334" s="1" t="s">
        <v>1902</v>
      </c>
      <c r="AD334" s="1" t="s">
        <v>17</v>
      </c>
      <c r="AE334" s="1" t="s">
        <v>1903</v>
      </c>
      <c r="AF334" s="1" t="s">
        <v>19</v>
      </c>
      <c r="AG334" s="1" t="s">
        <v>19</v>
      </c>
      <c r="AH334" s="1" t="s">
        <v>1901</v>
      </c>
    </row>
    <row r="335" spans="2:34" ht="15">
      <c r="B335" s="4" t="s">
        <v>153</v>
      </c>
      <c r="C335" s="5">
        <v>43633</v>
      </c>
      <c r="D335" s="4" t="s">
        <v>154</v>
      </c>
      <c r="E335" s="4" t="s">
        <v>1904</v>
      </c>
      <c r="F335" s="4" t="s">
        <v>3</v>
      </c>
      <c r="G335" s="4" t="s">
        <v>4</v>
      </c>
      <c r="H335" s="4" t="s">
        <v>1870</v>
      </c>
      <c r="I335" s="5">
        <v>43629</v>
      </c>
      <c r="J335" s="6">
        <v>0.4750347222222222</v>
      </c>
      <c r="K335" s="5">
        <v>43633</v>
      </c>
      <c r="L335" s="4" t="s">
        <v>6</v>
      </c>
      <c r="M335" s="4"/>
      <c r="N335" s="4" t="s">
        <v>316</v>
      </c>
      <c r="O335" s="4" t="s">
        <v>317</v>
      </c>
      <c r="P335" s="4" t="s">
        <v>1871</v>
      </c>
      <c r="Q335" s="4" t="s">
        <v>4</v>
      </c>
      <c r="R335" s="4" t="s">
        <v>4</v>
      </c>
      <c r="S335" s="4" t="s">
        <v>10</v>
      </c>
      <c r="T335" s="4"/>
      <c r="U335" s="4"/>
      <c r="V335" s="4"/>
      <c r="W335" s="4" t="s">
        <v>27</v>
      </c>
      <c r="X335" s="4" t="s">
        <v>1905</v>
      </c>
      <c r="Y335" s="4" t="s">
        <v>1905</v>
      </c>
      <c r="Z335" s="4" t="s">
        <v>1873</v>
      </c>
      <c r="AA335" s="4" t="s">
        <v>1906</v>
      </c>
      <c r="AB335" s="4" t="s">
        <v>1907</v>
      </c>
      <c r="AC335" s="4" t="s">
        <v>1908</v>
      </c>
      <c r="AD335" s="4" t="s">
        <v>17</v>
      </c>
      <c r="AE335" s="4" t="s">
        <v>1909</v>
      </c>
      <c r="AF335" s="4" t="s">
        <v>19</v>
      </c>
      <c r="AG335" s="4" t="s">
        <v>19</v>
      </c>
      <c r="AH335" s="4" t="s">
        <v>1907</v>
      </c>
    </row>
    <row r="336" spans="2:34" ht="15">
      <c r="B336" s="1" t="s">
        <v>1524</v>
      </c>
      <c r="C336" s="2">
        <v>43634</v>
      </c>
      <c r="D336" s="1" t="s">
        <v>1</v>
      </c>
      <c r="E336" s="1" t="s">
        <v>102</v>
      </c>
      <c r="F336" s="1" t="s">
        <v>3</v>
      </c>
      <c r="G336" s="1" t="s">
        <v>4</v>
      </c>
      <c r="H336" s="1" t="s">
        <v>632</v>
      </c>
      <c r="I336" s="2">
        <v>43633</v>
      </c>
      <c r="J336" s="3">
        <v>0.6261574074074074</v>
      </c>
      <c r="K336" s="2">
        <v>43635</v>
      </c>
      <c r="L336" s="1" t="s">
        <v>6</v>
      </c>
      <c r="M336" s="1"/>
      <c r="N336" s="1" t="s">
        <v>316</v>
      </c>
      <c r="O336" s="1" t="s">
        <v>317</v>
      </c>
      <c r="P336" s="1" t="s">
        <v>318</v>
      </c>
      <c r="Q336" s="1" t="s">
        <v>4</v>
      </c>
      <c r="R336" s="1" t="s">
        <v>4</v>
      </c>
      <c r="S336" s="1" t="s">
        <v>10</v>
      </c>
      <c r="T336" s="1"/>
      <c r="U336" s="1"/>
      <c r="V336" s="1"/>
      <c r="W336" s="1" t="s">
        <v>27</v>
      </c>
      <c r="X336" s="1" t="s">
        <v>1878</v>
      </c>
      <c r="Y336" s="1" t="s">
        <v>1878</v>
      </c>
      <c r="Z336" s="1" t="s">
        <v>1884</v>
      </c>
      <c r="AA336" s="1" t="s">
        <v>1910</v>
      </c>
      <c r="AB336" s="1" t="s">
        <v>1911</v>
      </c>
      <c r="AC336" s="1" t="s">
        <v>1912</v>
      </c>
      <c r="AD336" s="1" t="s">
        <v>17</v>
      </c>
      <c r="AE336" s="1" t="s">
        <v>1913</v>
      </c>
      <c r="AF336" s="1" t="s">
        <v>19</v>
      </c>
      <c r="AG336" s="1" t="s">
        <v>19</v>
      </c>
      <c r="AH336" s="1" t="s">
        <v>1911</v>
      </c>
    </row>
    <row r="337" spans="2:34" ht="15">
      <c r="B337" s="4" t="s">
        <v>153</v>
      </c>
      <c r="C337" s="5">
        <v>43634</v>
      </c>
      <c r="D337" s="4" t="s">
        <v>154</v>
      </c>
      <c r="E337" s="4" t="s">
        <v>1914</v>
      </c>
      <c r="F337" s="4" t="s">
        <v>3</v>
      </c>
      <c r="G337" s="4" t="s">
        <v>4</v>
      </c>
      <c r="H337" s="4" t="s">
        <v>183</v>
      </c>
      <c r="I337" s="5">
        <v>43633</v>
      </c>
      <c r="J337" s="6">
        <v>0.5846875</v>
      </c>
      <c r="K337" s="5">
        <v>43635</v>
      </c>
      <c r="L337" s="4" t="s">
        <v>6</v>
      </c>
      <c r="M337" s="4"/>
      <c r="N337" s="4" t="s">
        <v>1557</v>
      </c>
      <c r="O337" s="4" t="s">
        <v>1574</v>
      </c>
      <c r="P337" s="4" t="s">
        <v>1559</v>
      </c>
      <c r="Q337" s="4" t="s">
        <v>4</v>
      </c>
      <c r="R337" s="4" t="s">
        <v>4</v>
      </c>
      <c r="S337" s="4" t="s">
        <v>10</v>
      </c>
      <c r="T337" s="4"/>
      <c r="U337" s="4"/>
      <c r="V337" s="4"/>
      <c r="W337" s="4" t="s">
        <v>27</v>
      </c>
      <c r="X337" s="4" t="s">
        <v>197</v>
      </c>
      <c r="Y337" s="4" t="s">
        <v>197</v>
      </c>
      <c r="Z337" s="4" t="s">
        <v>1594</v>
      </c>
      <c r="AA337" s="4" t="s">
        <v>1915</v>
      </c>
      <c r="AB337" s="4" t="s">
        <v>1916</v>
      </c>
      <c r="AC337" s="4" t="s">
        <v>1917</v>
      </c>
      <c r="AD337" s="4" t="s">
        <v>17</v>
      </c>
      <c r="AE337" s="4" t="s">
        <v>17</v>
      </c>
      <c r="AF337" s="4" t="s">
        <v>19</v>
      </c>
      <c r="AG337" s="4" t="s">
        <v>19</v>
      </c>
      <c r="AH337" s="4" t="s">
        <v>1916</v>
      </c>
    </row>
    <row r="338" spans="2:34" ht="15">
      <c r="B338" s="1" t="s">
        <v>153</v>
      </c>
      <c r="C338" s="2">
        <v>43634</v>
      </c>
      <c r="D338" s="1" t="s">
        <v>154</v>
      </c>
      <c r="E338" s="1" t="s">
        <v>1918</v>
      </c>
      <c r="F338" s="1" t="s">
        <v>3</v>
      </c>
      <c r="G338" s="1" t="s">
        <v>4</v>
      </c>
      <c r="H338" s="1" t="s">
        <v>632</v>
      </c>
      <c r="I338" s="2">
        <v>43633</v>
      </c>
      <c r="J338" s="3">
        <v>0.6261574074074074</v>
      </c>
      <c r="K338" s="2">
        <v>43635</v>
      </c>
      <c r="L338" s="1" t="s">
        <v>6</v>
      </c>
      <c r="M338" s="1"/>
      <c r="N338" s="1" t="s">
        <v>316</v>
      </c>
      <c r="O338" s="1" t="s">
        <v>317</v>
      </c>
      <c r="P338" s="1" t="s">
        <v>318</v>
      </c>
      <c r="Q338" s="1" t="s">
        <v>4</v>
      </c>
      <c r="R338" s="1" t="s">
        <v>4</v>
      </c>
      <c r="S338" s="1" t="s">
        <v>10</v>
      </c>
      <c r="T338" s="1"/>
      <c r="U338" s="1"/>
      <c r="V338" s="1"/>
      <c r="W338" s="1" t="s">
        <v>27</v>
      </c>
      <c r="X338" s="1" t="s">
        <v>1905</v>
      </c>
      <c r="Y338" s="1" t="s">
        <v>1905</v>
      </c>
      <c r="Z338" s="1" t="s">
        <v>1884</v>
      </c>
      <c r="AA338" s="1" t="s">
        <v>1919</v>
      </c>
      <c r="AB338" s="1" t="s">
        <v>1920</v>
      </c>
      <c r="AC338" s="1" t="s">
        <v>1921</v>
      </c>
      <c r="AD338" s="1" t="s">
        <v>17</v>
      </c>
      <c r="AE338" s="1" t="s">
        <v>1922</v>
      </c>
      <c r="AF338" s="1" t="s">
        <v>19</v>
      </c>
      <c r="AG338" s="1" t="s">
        <v>19</v>
      </c>
      <c r="AH338" s="1" t="s">
        <v>1920</v>
      </c>
    </row>
    <row r="339" spans="2:34" ht="15">
      <c r="B339" s="4" t="s">
        <v>153</v>
      </c>
      <c r="C339" s="5">
        <v>43634</v>
      </c>
      <c r="D339" s="4" t="s">
        <v>154</v>
      </c>
      <c r="E339" s="4" t="s">
        <v>1923</v>
      </c>
      <c r="F339" s="4" t="s">
        <v>3</v>
      </c>
      <c r="G339" s="4" t="s">
        <v>4</v>
      </c>
      <c r="H339" s="4" t="s">
        <v>119</v>
      </c>
      <c r="I339" s="5">
        <v>43634</v>
      </c>
      <c r="J339" s="6">
        <v>0.3895601851851852</v>
      </c>
      <c r="K339" s="5">
        <v>43636</v>
      </c>
      <c r="L339" s="4" t="s">
        <v>6</v>
      </c>
      <c r="M339" s="4"/>
      <c r="N339" s="4" t="s">
        <v>136</v>
      </c>
      <c r="O339" s="4" t="s">
        <v>137</v>
      </c>
      <c r="P339" s="4" t="s">
        <v>138</v>
      </c>
      <c r="Q339" s="4" t="s">
        <v>4</v>
      </c>
      <c r="R339" s="4" t="s">
        <v>4</v>
      </c>
      <c r="S339" s="4" t="s">
        <v>10</v>
      </c>
      <c r="T339" s="4"/>
      <c r="U339" s="4"/>
      <c r="V339" s="4"/>
      <c r="W339" s="4" t="s">
        <v>27</v>
      </c>
      <c r="X339" s="4" t="s">
        <v>346</v>
      </c>
      <c r="Y339" s="4" t="s">
        <v>346</v>
      </c>
      <c r="Z339" s="4" t="s">
        <v>1924</v>
      </c>
      <c r="AA339" s="4" t="s">
        <v>1925</v>
      </c>
      <c r="AB339" s="4" t="s">
        <v>1926</v>
      </c>
      <c r="AC339" s="4" t="s">
        <v>1927</v>
      </c>
      <c r="AD339" s="4" t="s">
        <v>17</v>
      </c>
      <c r="AE339" s="4" t="s">
        <v>17</v>
      </c>
      <c r="AF339" s="4" t="s">
        <v>19</v>
      </c>
      <c r="AG339" s="4" t="s">
        <v>19</v>
      </c>
      <c r="AH339" s="4" t="s">
        <v>1926</v>
      </c>
    </row>
    <row r="340" spans="2:34" ht="15">
      <c r="B340" s="1" t="s">
        <v>153</v>
      </c>
      <c r="C340" s="2">
        <v>43634</v>
      </c>
      <c r="D340" s="1" t="s">
        <v>154</v>
      </c>
      <c r="E340" s="1" t="s">
        <v>1928</v>
      </c>
      <c r="F340" s="1" t="s">
        <v>3</v>
      </c>
      <c r="G340" s="1" t="s">
        <v>4</v>
      </c>
      <c r="H340" s="1" t="s">
        <v>786</v>
      </c>
      <c r="I340" s="2">
        <v>43634</v>
      </c>
      <c r="J340" s="3">
        <v>0.4041666666666667</v>
      </c>
      <c r="K340" s="2">
        <v>43636</v>
      </c>
      <c r="L340" s="1" t="s">
        <v>6</v>
      </c>
      <c r="M340" s="1"/>
      <c r="N340" s="1" t="s">
        <v>382</v>
      </c>
      <c r="O340" s="1" t="s">
        <v>383</v>
      </c>
      <c r="P340" s="1" t="s">
        <v>1387</v>
      </c>
      <c r="Q340" s="1" t="s">
        <v>4</v>
      </c>
      <c r="R340" s="1" t="s">
        <v>4</v>
      </c>
      <c r="S340" s="1" t="s">
        <v>10</v>
      </c>
      <c r="T340" s="1"/>
      <c r="U340" s="1"/>
      <c r="V340" s="1"/>
      <c r="W340" s="1" t="s">
        <v>27</v>
      </c>
      <c r="X340" s="1" t="s">
        <v>1929</v>
      </c>
      <c r="Y340" s="1" t="s">
        <v>1929</v>
      </c>
      <c r="Z340" s="1" t="s">
        <v>1930</v>
      </c>
      <c r="AA340" s="1" t="s">
        <v>1931</v>
      </c>
      <c r="AB340" s="1" t="s">
        <v>1932</v>
      </c>
      <c r="AC340" s="1" t="s">
        <v>1933</v>
      </c>
      <c r="AD340" s="1" t="s">
        <v>17</v>
      </c>
      <c r="AE340" s="1" t="s">
        <v>1934</v>
      </c>
      <c r="AF340" s="1" t="s">
        <v>19</v>
      </c>
      <c r="AG340" s="1" t="s">
        <v>19</v>
      </c>
      <c r="AH340" s="1" t="s">
        <v>1932</v>
      </c>
    </row>
    <row r="341" spans="2:34" ht="15">
      <c r="B341" s="4" t="s">
        <v>1524</v>
      </c>
      <c r="C341" s="5">
        <v>43635</v>
      </c>
      <c r="D341" s="4" t="s">
        <v>1</v>
      </c>
      <c r="E341" s="4" t="s">
        <v>537</v>
      </c>
      <c r="F341" s="4" t="s">
        <v>3</v>
      </c>
      <c r="G341" s="4" t="s">
        <v>4</v>
      </c>
      <c r="H341" s="4" t="s">
        <v>632</v>
      </c>
      <c r="I341" s="5">
        <v>43634</v>
      </c>
      <c r="J341" s="6">
        <v>0.5199074074074074</v>
      </c>
      <c r="K341" s="5">
        <v>43636</v>
      </c>
      <c r="L341" s="4" t="s">
        <v>6</v>
      </c>
      <c r="M341" s="4"/>
      <c r="N341" s="4" t="s">
        <v>316</v>
      </c>
      <c r="O341" s="4" t="s">
        <v>317</v>
      </c>
      <c r="P341" s="4" t="s">
        <v>318</v>
      </c>
      <c r="Q341" s="4" t="s">
        <v>4</v>
      </c>
      <c r="R341" s="4" t="s">
        <v>4</v>
      </c>
      <c r="S341" s="4" t="s">
        <v>10</v>
      </c>
      <c r="T341" s="4"/>
      <c r="U341" s="4"/>
      <c r="V341" s="4"/>
      <c r="W341" s="4" t="s">
        <v>27</v>
      </c>
      <c r="X341" s="4" t="s">
        <v>1935</v>
      </c>
      <c r="Y341" s="4" t="s">
        <v>1935</v>
      </c>
      <c r="Z341" s="4" t="s">
        <v>1936</v>
      </c>
      <c r="AA341" s="4" t="s">
        <v>1937</v>
      </c>
      <c r="AB341" s="4" t="s">
        <v>1938</v>
      </c>
      <c r="AC341" s="4" t="s">
        <v>1939</v>
      </c>
      <c r="AD341" s="4" t="s">
        <v>17</v>
      </c>
      <c r="AE341" s="4" t="s">
        <v>1940</v>
      </c>
      <c r="AF341" s="4" t="s">
        <v>19</v>
      </c>
      <c r="AG341" s="4" t="s">
        <v>19</v>
      </c>
      <c r="AH341" s="4" t="s">
        <v>1938</v>
      </c>
    </row>
    <row r="342" spans="2:34" ht="15">
      <c r="B342" s="1" t="s">
        <v>153</v>
      </c>
      <c r="C342" s="2">
        <v>43635</v>
      </c>
      <c r="D342" s="1" t="s">
        <v>154</v>
      </c>
      <c r="E342" s="1" t="s">
        <v>1928</v>
      </c>
      <c r="F342" s="1" t="s">
        <v>3</v>
      </c>
      <c r="G342" s="1" t="s">
        <v>85</v>
      </c>
      <c r="H342" s="1" t="s">
        <v>786</v>
      </c>
      <c r="I342" s="2">
        <v>43634</v>
      </c>
      <c r="J342" s="3">
        <v>0.4041666666666667</v>
      </c>
      <c r="K342" s="2">
        <v>43636</v>
      </c>
      <c r="L342" s="1" t="s">
        <v>6</v>
      </c>
      <c r="M342" s="1"/>
      <c r="N342" s="1" t="s">
        <v>382</v>
      </c>
      <c r="O342" s="1" t="s">
        <v>383</v>
      </c>
      <c r="P342" s="1" t="s">
        <v>1387</v>
      </c>
      <c r="Q342" s="1" t="s">
        <v>4</v>
      </c>
      <c r="R342" s="1" t="s">
        <v>4</v>
      </c>
      <c r="S342" s="1" t="s">
        <v>10</v>
      </c>
      <c r="T342" s="1"/>
      <c r="U342" s="1"/>
      <c r="V342" s="1"/>
      <c r="W342" s="1" t="s">
        <v>27</v>
      </c>
      <c r="X342" s="1" t="s">
        <v>1929</v>
      </c>
      <c r="Y342" s="1" t="s">
        <v>1929</v>
      </c>
      <c r="Z342" s="1" t="s">
        <v>1930</v>
      </c>
      <c r="AA342" s="1" t="s">
        <v>1931</v>
      </c>
      <c r="AB342" s="1" t="s">
        <v>1932</v>
      </c>
      <c r="AC342" s="1" t="s">
        <v>1933</v>
      </c>
      <c r="AD342" s="1" t="s">
        <v>17</v>
      </c>
      <c r="AE342" s="1" t="s">
        <v>1934</v>
      </c>
      <c r="AF342" s="1" t="s">
        <v>19</v>
      </c>
      <c r="AG342" s="1" t="s">
        <v>19</v>
      </c>
      <c r="AH342" s="1" t="s">
        <v>1932</v>
      </c>
    </row>
    <row r="343" spans="2:34" ht="15">
      <c r="B343" s="4" t="s">
        <v>153</v>
      </c>
      <c r="C343" s="5">
        <v>43635</v>
      </c>
      <c r="D343" s="4" t="s">
        <v>154</v>
      </c>
      <c r="E343" s="4" t="s">
        <v>1941</v>
      </c>
      <c r="F343" s="4" t="s">
        <v>3</v>
      </c>
      <c r="G343" s="4" t="s">
        <v>4</v>
      </c>
      <c r="H343" s="4" t="s">
        <v>786</v>
      </c>
      <c r="I343" s="5">
        <v>43634</v>
      </c>
      <c r="J343" s="6">
        <v>0.4041666666666667</v>
      </c>
      <c r="K343" s="5">
        <v>43636</v>
      </c>
      <c r="L343" s="4" t="s">
        <v>6</v>
      </c>
      <c r="M343" s="4"/>
      <c r="N343" s="4" t="s">
        <v>382</v>
      </c>
      <c r="O343" s="4" t="s">
        <v>383</v>
      </c>
      <c r="P343" s="4" t="s">
        <v>1387</v>
      </c>
      <c r="Q343" s="4" t="s">
        <v>4</v>
      </c>
      <c r="R343" s="4" t="s">
        <v>4</v>
      </c>
      <c r="S343" s="4" t="s">
        <v>10</v>
      </c>
      <c r="T343" s="4"/>
      <c r="U343" s="4"/>
      <c r="V343" s="4"/>
      <c r="W343" s="4" t="s">
        <v>27</v>
      </c>
      <c r="X343" s="4" t="s">
        <v>1942</v>
      </c>
      <c r="Y343" s="4" t="s">
        <v>1942</v>
      </c>
      <c r="Z343" s="4" t="s">
        <v>1930</v>
      </c>
      <c r="AA343" s="4" t="s">
        <v>1943</v>
      </c>
      <c r="AB343" s="4" t="s">
        <v>1944</v>
      </c>
      <c r="AC343" s="4" t="s">
        <v>1945</v>
      </c>
      <c r="AD343" s="4" t="s">
        <v>17</v>
      </c>
      <c r="AE343" s="4" t="s">
        <v>1946</v>
      </c>
      <c r="AF343" s="4" t="s">
        <v>19</v>
      </c>
      <c r="AG343" s="4" t="s">
        <v>19</v>
      </c>
      <c r="AH343" s="4" t="s">
        <v>1944</v>
      </c>
    </row>
    <row r="344" spans="2:34" ht="15">
      <c r="B344" s="1" t="s">
        <v>153</v>
      </c>
      <c r="C344" s="2">
        <v>43635</v>
      </c>
      <c r="D344" s="1" t="s">
        <v>154</v>
      </c>
      <c r="E344" s="1" t="s">
        <v>1947</v>
      </c>
      <c r="F344" s="1" t="s">
        <v>3</v>
      </c>
      <c r="G344" s="1" t="s">
        <v>4</v>
      </c>
      <c r="H344" s="1" t="s">
        <v>632</v>
      </c>
      <c r="I344" s="2">
        <v>43634</v>
      </c>
      <c r="J344" s="3">
        <v>0.5199074074074074</v>
      </c>
      <c r="K344" s="2">
        <v>43636</v>
      </c>
      <c r="L344" s="1" t="s">
        <v>6</v>
      </c>
      <c r="M344" s="1"/>
      <c r="N344" s="1" t="s">
        <v>316</v>
      </c>
      <c r="O344" s="1" t="s">
        <v>317</v>
      </c>
      <c r="P344" s="1" t="s">
        <v>318</v>
      </c>
      <c r="Q344" s="1" t="s">
        <v>4</v>
      </c>
      <c r="R344" s="1" t="s">
        <v>4</v>
      </c>
      <c r="S344" s="1" t="s">
        <v>10</v>
      </c>
      <c r="T344" s="1"/>
      <c r="U344" s="1"/>
      <c r="V344" s="1"/>
      <c r="W344" s="1" t="s">
        <v>27</v>
      </c>
      <c r="X344" s="1" t="s">
        <v>1948</v>
      </c>
      <c r="Y344" s="1" t="s">
        <v>1948</v>
      </c>
      <c r="Z344" s="1" t="s">
        <v>1936</v>
      </c>
      <c r="AA344" s="1" t="s">
        <v>1949</v>
      </c>
      <c r="AB344" s="1" t="s">
        <v>1950</v>
      </c>
      <c r="AC344" s="1" t="s">
        <v>1951</v>
      </c>
      <c r="AD344" s="1" t="s">
        <v>17</v>
      </c>
      <c r="AE344" s="1" t="s">
        <v>1952</v>
      </c>
      <c r="AF344" s="1" t="s">
        <v>19</v>
      </c>
      <c r="AG344" s="1" t="s">
        <v>19</v>
      </c>
      <c r="AH344" s="1" t="s">
        <v>1950</v>
      </c>
    </row>
    <row r="345" spans="2:34" ht="15">
      <c r="B345" s="4" t="s">
        <v>1518</v>
      </c>
      <c r="C345" s="5">
        <v>43636</v>
      </c>
      <c r="D345" s="4" t="s">
        <v>21</v>
      </c>
      <c r="E345" s="4" t="s">
        <v>1953</v>
      </c>
      <c r="F345" s="4" t="s">
        <v>3</v>
      </c>
      <c r="G345" s="4" t="s">
        <v>4</v>
      </c>
      <c r="H345" s="4" t="s">
        <v>119</v>
      </c>
      <c r="I345" s="5">
        <v>43636</v>
      </c>
      <c r="J345" s="6">
        <v>0.40697916666666667</v>
      </c>
      <c r="K345" s="5">
        <v>43641</v>
      </c>
      <c r="L345" s="4" t="s">
        <v>6</v>
      </c>
      <c r="M345" s="4"/>
      <c r="N345" s="4"/>
      <c r="O345" s="4" t="s">
        <v>1954</v>
      </c>
      <c r="P345" s="4" t="s">
        <v>1955</v>
      </c>
      <c r="Q345" s="4" t="s">
        <v>4</v>
      </c>
      <c r="R345" s="4" t="s">
        <v>85</v>
      </c>
      <c r="S345" s="4" t="s">
        <v>85</v>
      </c>
      <c r="T345" s="4"/>
      <c r="U345" s="4"/>
      <c r="V345" s="4"/>
      <c r="W345" s="4" t="s">
        <v>27</v>
      </c>
      <c r="X345" s="4" t="s">
        <v>1956</v>
      </c>
      <c r="Y345" s="4" t="s">
        <v>1956</v>
      </c>
      <c r="Z345" s="4" t="s">
        <v>1957</v>
      </c>
      <c r="AA345" s="4" t="s">
        <v>1958</v>
      </c>
      <c r="AB345" s="4" t="s">
        <v>1958</v>
      </c>
      <c r="AC345" s="4" t="s">
        <v>17</v>
      </c>
      <c r="AD345" s="4" t="s">
        <v>17</v>
      </c>
      <c r="AE345" s="4" t="s">
        <v>17</v>
      </c>
      <c r="AF345" s="4" t="s">
        <v>19</v>
      </c>
      <c r="AG345" s="4" t="s">
        <v>19</v>
      </c>
      <c r="AH345" s="4" t="s">
        <v>1958</v>
      </c>
    </row>
    <row r="346" spans="2:34" ht="15">
      <c r="B346" s="1" t="s">
        <v>1524</v>
      </c>
      <c r="C346" s="2">
        <v>43636</v>
      </c>
      <c r="D346" s="1" t="s">
        <v>1</v>
      </c>
      <c r="E346" s="1" t="s">
        <v>569</v>
      </c>
      <c r="F346" s="1" t="s">
        <v>3</v>
      </c>
      <c r="G346" s="1" t="s">
        <v>4</v>
      </c>
      <c r="H346" s="1" t="s">
        <v>119</v>
      </c>
      <c r="I346" s="2">
        <v>43636</v>
      </c>
      <c r="J346" s="3">
        <v>0.40697916666666667</v>
      </c>
      <c r="K346" s="2">
        <v>43641</v>
      </c>
      <c r="L346" s="1" t="s">
        <v>6</v>
      </c>
      <c r="M346" s="1"/>
      <c r="N346" s="1"/>
      <c r="O346" s="1" t="s">
        <v>1954</v>
      </c>
      <c r="P346" s="1" t="s">
        <v>1955</v>
      </c>
      <c r="Q346" s="1" t="s">
        <v>4</v>
      </c>
      <c r="R346" s="1" t="s">
        <v>85</v>
      </c>
      <c r="S346" s="1" t="s">
        <v>85</v>
      </c>
      <c r="T346" s="1"/>
      <c r="U346" s="1"/>
      <c r="V346" s="1"/>
      <c r="W346" s="1" t="s">
        <v>27</v>
      </c>
      <c r="X346" s="1" t="s">
        <v>1959</v>
      </c>
      <c r="Y346" s="1" t="s">
        <v>1959</v>
      </c>
      <c r="Z346" s="1" t="s">
        <v>1957</v>
      </c>
      <c r="AA346" s="1" t="s">
        <v>1960</v>
      </c>
      <c r="AB346" s="1" t="s">
        <v>1960</v>
      </c>
      <c r="AC346" s="1" t="s">
        <v>17</v>
      </c>
      <c r="AD346" s="1" t="s">
        <v>17</v>
      </c>
      <c r="AE346" s="1" t="s">
        <v>17</v>
      </c>
      <c r="AF346" s="1" t="s">
        <v>19</v>
      </c>
      <c r="AG346" s="1" t="s">
        <v>19</v>
      </c>
      <c r="AH346" s="1" t="s">
        <v>1960</v>
      </c>
    </row>
    <row r="347" spans="2:34" ht="15">
      <c r="B347" s="4" t="s">
        <v>153</v>
      </c>
      <c r="C347" s="5">
        <v>43636</v>
      </c>
      <c r="D347" s="4" t="s">
        <v>154</v>
      </c>
      <c r="E347" s="4" t="s">
        <v>1666</v>
      </c>
      <c r="F347" s="4" t="s">
        <v>3</v>
      </c>
      <c r="G347" s="4" t="s">
        <v>4</v>
      </c>
      <c r="H347" s="4" t="s">
        <v>119</v>
      </c>
      <c r="I347" s="5">
        <v>43636</v>
      </c>
      <c r="J347" s="6">
        <v>0.40697916666666667</v>
      </c>
      <c r="K347" s="5">
        <v>43641</v>
      </c>
      <c r="L347" s="4" t="s">
        <v>6</v>
      </c>
      <c r="M347" s="4"/>
      <c r="N347" s="4"/>
      <c r="O347" s="4" t="s">
        <v>1954</v>
      </c>
      <c r="P347" s="4" t="s">
        <v>1955</v>
      </c>
      <c r="Q347" s="4" t="s">
        <v>4</v>
      </c>
      <c r="R347" s="4" t="s">
        <v>85</v>
      </c>
      <c r="S347" s="4" t="s">
        <v>85</v>
      </c>
      <c r="T347" s="4"/>
      <c r="U347" s="4"/>
      <c r="V347" s="4"/>
      <c r="W347" s="4" t="s">
        <v>27</v>
      </c>
      <c r="X347" s="4" t="s">
        <v>1961</v>
      </c>
      <c r="Y347" s="4" t="s">
        <v>1961</v>
      </c>
      <c r="Z347" s="4" t="s">
        <v>1957</v>
      </c>
      <c r="AA347" s="4" t="s">
        <v>1962</v>
      </c>
      <c r="AB347" s="4" t="s">
        <v>1962</v>
      </c>
      <c r="AC347" s="4" t="s">
        <v>17</v>
      </c>
      <c r="AD347" s="4" t="s">
        <v>17</v>
      </c>
      <c r="AE347" s="4" t="s">
        <v>17</v>
      </c>
      <c r="AF347" s="4" t="s">
        <v>19</v>
      </c>
      <c r="AG347" s="4" t="s">
        <v>19</v>
      </c>
      <c r="AH347" s="4" t="s">
        <v>1962</v>
      </c>
    </row>
    <row r="348" spans="2:34" ht="15">
      <c r="B348" s="1" t="s">
        <v>1524</v>
      </c>
      <c r="C348" s="2">
        <v>43637</v>
      </c>
      <c r="D348" s="1" t="s">
        <v>1</v>
      </c>
      <c r="E348" s="1" t="s">
        <v>569</v>
      </c>
      <c r="F348" s="1" t="s">
        <v>3</v>
      </c>
      <c r="G348" s="1" t="s">
        <v>4</v>
      </c>
      <c r="H348" s="1" t="s">
        <v>109</v>
      </c>
      <c r="I348" s="2">
        <v>43636</v>
      </c>
      <c r="J348" s="3">
        <v>0.6180555555555556</v>
      </c>
      <c r="K348" s="2">
        <v>43636</v>
      </c>
      <c r="L348" s="1" t="s">
        <v>1963</v>
      </c>
      <c r="M348" s="1"/>
      <c r="N348" s="1"/>
      <c r="O348" s="1" t="s">
        <v>1964</v>
      </c>
      <c r="P348" s="1" t="s">
        <v>1965</v>
      </c>
      <c r="Q348" s="1" t="s">
        <v>4</v>
      </c>
      <c r="R348" s="1" t="s">
        <v>4</v>
      </c>
      <c r="S348" s="1" t="s">
        <v>10</v>
      </c>
      <c r="T348" s="1"/>
      <c r="U348" s="1"/>
      <c r="V348" s="1"/>
      <c r="W348" s="1" t="s">
        <v>27</v>
      </c>
      <c r="X348" s="1" t="s">
        <v>1031</v>
      </c>
      <c r="Y348" s="1" t="s">
        <v>1031</v>
      </c>
      <c r="Z348" s="1" t="s">
        <v>18</v>
      </c>
      <c r="AA348" s="1" t="s">
        <v>1031</v>
      </c>
      <c r="AB348" s="1" t="s">
        <v>1031</v>
      </c>
      <c r="AC348" s="1" t="s">
        <v>17</v>
      </c>
      <c r="AD348" s="1" t="s">
        <v>17</v>
      </c>
      <c r="AE348" s="1" t="s">
        <v>17</v>
      </c>
      <c r="AF348" s="1" t="s">
        <v>19</v>
      </c>
      <c r="AG348" s="1" t="s">
        <v>19</v>
      </c>
      <c r="AH348" s="1" t="s">
        <v>1031</v>
      </c>
    </row>
    <row r="349" spans="2:34" ht="15">
      <c r="B349" s="4" t="s">
        <v>1518</v>
      </c>
      <c r="C349" s="5">
        <v>43641</v>
      </c>
      <c r="D349" s="4" t="s">
        <v>21</v>
      </c>
      <c r="E349" s="4" t="s">
        <v>1953</v>
      </c>
      <c r="F349" s="4" t="s">
        <v>3</v>
      </c>
      <c r="G349" s="4" t="s">
        <v>85</v>
      </c>
      <c r="H349" s="4" t="s">
        <v>119</v>
      </c>
      <c r="I349" s="5">
        <v>43636</v>
      </c>
      <c r="J349" s="6">
        <v>0.40697916666666667</v>
      </c>
      <c r="K349" s="5">
        <v>43641</v>
      </c>
      <c r="L349" s="4" t="s">
        <v>6</v>
      </c>
      <c r="M349" s="4"/>
      <c r="N349" s="4"/>
      <c r="O349" s="4" t="s">
        <v>1954</v>
      </c>
      <c r="P349" s="4" t="s">
        <v>1955</v>
      </c>
      <c r="Q349" s="4" t="s">
        <v>4</v>
      </c>
      <c r="R349" s="4" t="s">
        <v>85</v>
      </c>
      <c r="S349" s="4" t="s">
        <v>85</v>
      </c>
      <c r="T349" s="4"/>
      <c r="U349" s="4"/>
      <c r="V349" s="4"/>
      <c r="W349" s="4" t="s">
        <v>27</v>
      </c>
      <c r="X349" s="4" t="s">
        <v>1956</v>
      </c>
      <c r="Y349" s="4" t="s">
        <v>1956</v>
      </c>
      <c r="Z349" s="4" t="s">
        <v>1957</v>
      </c>
      <c r="AA349" s="4" t="s">
        <v>1958</v>
      </c>
      <c r="AB349" s="4" t="s">
        <v>1958</v>
      </c>
      <c r="AC349" s="4" t="s">
        <v>17</v>
      </c>
      <c r="AD349" s="4" t="s">
        <v>17</v>
      </c>
      <c r="AE349" s="4" t="s">
        <v>17</v>
      </c>
      <c r="AF349" s="4" t="s">
        <v>19</v>
      </c>
      <c r="AG349" s="4" t="s">
        <v>19</v>
      </c>
      <c r="AH349" s="4" t="s">
        <v>1958</v>
      </c>
    </row>
    <row r="350" spans="2:34" ht="15">
      <c r="B350" s="1" t="s">
        <v>1518</v>
      </c>
      <c r="C350" s="2">
        <v>43641</v>
      </c>
      <c r="D350" s="1" t="s">
        <v>21</v>
      </c>
      <c r="E350" s="1" t="s">
        <v>1966</v>
      </c>
      <c r="F350" s="1" t="s">
        <v>3</v>
      </c>
      <c r="G350" s="1" t="s">
        <v>4</v>
      </c>
      <c r="H350" s="1" t="s">
        <v>119</v>
      </c>
      <c r="I350" s="2">
        <v>43636</v>
      </c>
      <c r="J350" s="3">
        <v>0.40697916666666667</v>
      </c>
      <c r="K350" s="2">
        <v>43641</v>
      </c>
      <c r="L350" s="1" t="s">
        <v>6</v>
      </c>
      <c r="M350" s="1"/>
      <c r="N350" s="1" t="s">
        <v>1967</v>
      </c>
      <c r="O350" s="1" t="s">
        <v>1954</v>
      </c>
      <c r="P350" s="1" t="s">
        <v>1955</v>
      </c>
      <c r="Q350" s="1" t="s">
        <v>4</v>
      </c>
      <c r="R350" s="1" t="s">
        <v>85</v>
      </c>
      <c r="S350" s="1" t="s">
        <v>4</v>
      </c>
      <c r="T350" s="1"/>
      <c r="U350" s="1"/>
      <c r="V350" s="1"/>
      <c r="W350" s="1" t="s">
        <v>27</v>
      </c>
      <c r="X350" s="1" t="s">
        <v>1956</v>
      </c>
      <c r="Y350" s="1" t="s">
        <v>1956</v>
      </c>
      <c r="Z350" s="1" t="s">
        <v>1957</v>
      </c>
      <c r="AA350" s="1" t="s">
        <v>1958</v>
      </c>
      <c r="AB350" s="1" t="s">
        <v>1958</v>
      </c>
      <c r="AC350" s="1" t="s">
        <v>17</v>
      </c>
      <c r="AD350" s="1" t="s">
        <v>17</v>
      </c>
      <c r="AE350" s="1" t="s">
        <v>17</v>
      </c>
      <c r="AF350" s="1" t="s">
        <v>19</v>
      </c>
      <c r="AG350" s="1" t="s">
        <v>19</v>
      </c>
      <c r="AH350" s="1" t="s">
        <v>1958</v>
      </c>
    </row>
    <row r="351" spans="2:34" ht="15">
      <c r="B351" s="4" t="s">
        <v>1524</v>
      </c>
      <c r="C351" s="5">
        <v>43641</v>
      </c>
      <c r="D351" s="4" t="s">
        <v>1</v>
      </c>
      <c r="E351" s="4" t="s">
        <v>569</v>
      </c>
      <c r="F351" s="4" t="s">
        <v>3</v>
      </c>
      <c r="G351" s="4" t="s">
        <v>85</v>
      </c>
      <c r="H351" s="4" t="s">
        <v>119</v>
      </c>
      <c r="I351" s="5">
        <v>43636</v>
      </c>
      <c r="J351" s="6">
        <v>0.40697916666666667</v>
      </c>
      <c r="K351" s="5">
        <v>43641</v>
      </c>
      <c r="L351" s="4" t="s">
        <v>6</v>
      </c>
      <c r="M351" s="4"/>
      <c r="N351" s="4"/>
      <c r="O351" s="4" t="s">
        <v>1954</v>
      </c>
      <c r="P351" s="4" t="s">
        <v>1955</v>
      </c>
      <c r="Q351" s="4" t="s">
        <v>4</v>
      </c>
      <c r="R351" s="4" t="s">
        <v>85</v>
      </c>
      <c r="S351" s="4" t="s">
        <v>85</v>
      </c>
      <c r="T351" s="4"/>
      <c r="U351" s="4"/>
      <c r="V351" s="4"/>
      <c r="W351" s="4" t="s">
        <v>27</v>
      </c>
      <c r="X351" s="4" t="s">
        <v>1959</v>
      </c>
      <c r="Y351" s="4" t="s">
        <v>1959</v>
      </c>
      <c r="Z351" s="4" t="s">
        <v>1957</v>
      </c>
      <c r="AA351" s="4" t="s">
        <v>1960</v>
      </c>
      <c r="AB351" s="4" t="s">
        <v>1960</v>
      </c>
      <c r="AC351" s="4" t="s">
        <v>17</v>
      </c>
      <c r="AD351" s="4" t="s">
        <v>17</v>
      </c>
      <c r="AE351" s="4" t="s">
        <v>17</v>
      </c>
      <c r="AF351" s="4" t="s">
        <v>19</v>
      </c>
      <c r="AG351" s="4" t="s">
        <v>19</v>
      </c>
      <c r="AH351" s="4" t="s">
        <v>1960</v>
      </c>
    </row>
    <row r="352" spans="2:34" ht="15">
      <c r="B352" s="1" t="s">
        <v>1524</v>
      </c>
      <c r="C352" s="2">
        <v>43641</v>
      </c>
      <c r="D352" s="1" t="s">
        <v>1</v>
      </c>
      <c r="E352" s="1" t="s">
        <v>586</v>
      </c>
      <c r="F352" s="1" t="s">
        <v>3</v>
      </c>
      <c r="G352" s="1" t="s">
        <v>4</v>
      </c>
      <c r="H352" s="1" t="s">
        <v>119</v>
      </c>
      <c r="I352" s="2">
        <v>43636</v>
      </c>
      <c r="J352" s="3">
        <v>0.40697916666666667</v>
      </c>
      <c r="K352" s="2">
        <v>43641</v>
      </c>
      <c r="L352" s="1" t="s">
        <v>6</v>
      </c>
      <c r="M352" s="1"/>
      <c r="N352" s="1" t="s">
        <v>1967</v>
      </c>
      <c r="O352" s="1" t="s">
        <v>1954</v>
      </c>
      <c r="P352" s="1" t="s">
        <v>1955</v>
      </c>
      <c r="Q352" s="1" t="s">
        <v>4</v>
      </c>
      <c r="R352" s="1" t="s">
        <v>85</v>
      </c>
      <c r="S352" s="1" t="s">
        <v>4</v>
      </c>
      <c r="T352" s="1"/>
      <c r="U352" s="1"/>
      <c r="V352" s="1"/>
      <c r="W352" s="1" t="s">
        <v>27</v>
      </c>
      <c r="X352" s="1" t="s">
        <v>1959</v>
      </c>
      <c r="Y352" s="1" t="s">
        <v>1959</v>
      </c>
      <c r="Z352" s="1" t="s">
        <v>1957</v>
      </c>
      <c r="AA352" s="1" t="s">
        <v>1960</v>
      </c>
      <c r="AB352" s="1" t="s">
        <v>1960</v>
      </c>
      <c r="AC352" s="1" t="s">
        <v>17</v>
      </c>
      <c r="AD352" s="1" t="s">
        <v>17</v>
      </c>
      <c r="AE352" s="1" t="s">
        <v>17</v>
      </c>
      <c r="AF352" s="1" t="s">
        <v>19</v>
      </c>
      <c r="AG352" s="1" t="s">
        <v>19</v>
      </c>
      <c r="AH352" s="1" t="s">
        <v>1960</v>
      </c>
    </row>
    <row r="353" spans="2:34" ht="15">
      <c r="B353" s="4" t="s">
        <v>153</v>
      </c>
      <c r="C353" s="5">
        <v>43641</v>
      </c>
      <c r="D353" s="4" t="s">
        <v>154</v>
      </c>
      <c r="E353" s="4" t="s">
        <v>1666</v>
      </c>
      <c r="F353" s="4" t="s">
        <v>3</v>
      </c>
      <c r="G353" s="4" t="s">
        <v>85</v>
      </c>
      <c r="H353" s="4" t="s">
        <v>119</v>
      </c>
      <c r="I353" s="5">
        <v>43636</v>
      </c>
      <c r="J353" s="6">
        <v>0.40697916666666667</v>
      </c>
      <c r="K353" s="5">
        <v>43641</v>
      </c>
      <c r="L353" s="4" t="s">
        <v>6</v>
      </c>
      <c r="M353" s="4"/>
      <c r="N353" s="4"/>
      <c r="O353" s="4" t="s">
        <v>1954</v>
      </c>
      <c r="P353" s="4" t="s">
        <v>1955</v>
      </c>
      <c r="Q353" s="4" t="s">
        <v>4</v>
      </c>
      <c r="R353" s="4" t="s">
        <v>85</v>
      </c>
      <c r="S353" s="4" t="s">
        <v>85</v>
      </c>
      <c r="T353" s="4"/>
      <c r="U353" s="4"/>
      <c r="V353" s="4"/>
      <c r="W353" s="4" t="s">
        <v>27</v>
      </c>
      <c r="X353" s="4" t="s">
        <v>1961</v>
      </c>
      <c r="Y353" s="4" t="s">
        <v>1961</v>
      </c>
      <c r="Z353" s="4" t="s">
        <v>1957</v>
      </c>
      <c r="AA353" s="4" t="s">
        <v>1962</v>
      </c>
      <c r="AB353" s="4" t="s">
        <v>1962</v>
      </c>
      <c r="AC353" s="4" t="s">
        <v>17</v>
      </c>
      <c r="AD353" s="4" t="s">
        <v>17</v>
      </c>
      <c r="AE353" s="4" t="s">
        <v>17</v>
      </c>
      <c r="AF353" s="4" t="s">
        <v>19</v>
      </c>
      <c r="AG353" s="4" t="s">
        <v>19</v>
      </c>
      <c r="AH353" s="4" t="s">
        <v>1962</v>
      </c>
    </row>
    <row r="354" spans="2:34" ht="15">
      <c r="B354" s="1" t="s">
        <v>153</v>
      </c>
      <c r="C354" s="2">
        <v>43641</v>
      </c>
      <c r="D354" s="1" t="s">
        <v>154</v>
      </c>
      <c r="E354" s="1" t="s">
        <v>1968</v>
      </c>
      <c r="F354" s="1" t="s">
        <v>3</v>
      </c>
      <c r="G354" s="1" t="s">
        <v>4</v>
      </c>
      <c r="H354" s="1" t="s">
        <v>119</v>
      </c>
      <c r="I354" s="2">
        <v>43636</v>
      </c>
      <c r="J354" s="3">
        <v>0.40697916666666667</v>
      </c>
      <c r="K354" s="2">
        <v>43641</v>
      </c>
      <c r="L354" s="1" t="s">
        <v>6</v>
      </c>
      <c r="M354" s="1"/>
      <c r="N354" s="1" t="s">
        <v>1967</v>
      </c>
      <c r="O354" s="1" t="s">
        <v>1954</v>
      </c>
      <c r="P354" s="1" t="s">
        <v>1955</v>
      </c>
      <c r="Q354" s="1" t="s">
        <v>4</v>
      </c>
      <c r="R354" s="1" t="s">
        <v>85</v>
      </c>
      <c r="S354" s="1" t="s">
        <v>4</v>
      </c>
      <c r="T354" s="1"/>
      <c r="U354" s="1"/>
      <c r="V354" s="1"/>
      <c r="W354" s="1" t="s">
        <v>27</v>
      </c>
      <c r="X354" s="1" t="s">
        <v>1961</v>
      </c>
      <c r="Y354" s="1" t="s">
        <v>1961</v>
      </c>
      <c r="Z354" s="1" t="s">
        <v>1957</v>
      </c>
      <c r="AA354" s="1" t="s">
        <v>1962</v>
      </c>
      <c r="AB354" s="1" t="s">
        <v>1962</v>
      </c>
      <c r="AC354" s="1" t="s">
        <v>17</v>
      </c>
      <c r="AD354" s="1" t="s">
        <v>17</v>
      </c>
      <c r="AE354" s="1" t="s">
        <v>17</v>
      </c>
      <c r="AF354" s="1" t="s">
        <v>19</v>
      </c>
      <c r="AG354" s="1" t="s">
        <v>19</v>
      </c>
      <c r="AH354" s="1" t="s">
        <v>1962</v>
      </c>
    </row>
    <row r="355" spans="2:34" ht="15">
      <c r="B355" s="4" t="s">
        <v>1518</v>
      </c>
      <c r="C355" s="5">
        <v>43643</v>
      </c>
      <c r="D355" s="4" t="s">
        <v>21</v>
      </c>
      <c r="E355" s="4" t="s">
        <v>1969</v>
      </c>
      <c r="F355" s="4" t="s">
        <v>3</v>
      </c>
      <c r="G355" s="4" t="s">
        <v>4</v>
      </c>
      <c r="H355" s="4" t="s">
        <v>119</v>
      </c>
      <c r="I355" s="5">
        <v>43643</v>
      </c>
      <c r="J355" s="6">
        <v>0.418275462962963</v>
      </c>
      <c r="K355" s="5">
        <v>43647</v>
      </c>
      <c r="L355" s="4" t="s">
        <v>6</v>
      </c>
      <c r="M355" s="4"/>
      <c r="N355" s="4" t="s">
        <v>316</v>
      </c>
      <c r="O355" s="4" t="s">
        <v>317</v>
      </c>
      <c r="P355" s="4" t="s">
        <v>318</v>
      </c>
      <c r="Q355" s="4" t="s">
        <v>4</v>
      </c>
      <c r="R355" s="4" t="s">
        <v>4</v>
      </c>
      <c r="S355" s="4" t="s">
        <v>10</v>
      </c>
      <c r="T355" s="4"/>
      <c r="U355" s="4"/>
      <c r="V355" s="4"/>
      <c r="W355" s="4" t="s">
        <v>27</v>
      </c>
      <c r="X355" s="4" t="s">
        <v>1031</v>
      </c>
      <c r="Y355" s="4" t="s">
        <v>1031</v>
      </c>
      <c r="Z355" s="4" t="s">
        <v>18</v>
      </c>
      <c r="AA355" s="4" t="s">
        <v>1031</v>
      </c>
      <c r="AB355" s="4" t="s">
        <v>1970</v>
      </c>
      <c r="AC355" s="4" t="s">
        <v>714</v>
      </c>
      <c r="AD355" s="4" t="s">
        <v>17</v>
      </c>
      <c r="AE355" s="4" t="s">
        <v>1971</v>
      </c>
      <c r="AF355" s="4" t="s">
        <v>19</v>
      </c>
      <c r="AG355" s="4" t="s">
        <v>19</v>
      </c>
      <c r="AH355" s="4" t="s">
        <v>1970</v>
      </c>
    </row>
    <row r="356" spans="2:34" ht="15">
      <c r="B356" s="1" t="s">
        <v>1518</v>
      </c>
      <c r="C356" s="2">
        <v>43643</v>
      </c>
      <c r="D356" s="1" t="s">
        <v>21</v>
      </c>
      <c r="E356" s="1" t="s">
        <v>1972</v>
      </c>
      <c r="F356" s="1" t="s">
        <v>3</v>
      </c>
      <c r="G356" s="1" t="s">
        <v>4</v>
      </c>
      <c r="H356" s="1" t="s">
        <v>632</v>
      </c>
      <c r="I356" s="2">
        <v>43643</v>
      </c>
      <c r="J356" s="3">
        <v>0.42324074074074075</v>
      </c>
      <c r="K356" s="2">
        <v>43647</v>
      </c>
      <c r="L356" s="1" t="s">
        <v>6</v>
      </c>
      <c r="M356" s="1"/>
      <c r="N356" s="1" t="s">
        <v>316</v>
      </c>
      <c r="O356" s="1" t="s">
        <v>317</v>
      </c>
      <c r="P356" s="1" t="s">
        <v>318</v>
      </c>
      <c r="Q356" s="1" t="s">
        <v>4</v>
      </c>
      <c r="R356" s="1" t="s">
        <v>4</v>
      </c>
      <c r="S356" s="1" t="s">
        <v>10</v>
      </c>
      <c r="T356" s="1"/>
      <c r="U356" s="1"/>
      <c r="V356" s="1"/>
      <c r="W356" s="1" t="s">
        <v>27</v>
      </c>
      <c r="X356" s="1" t="s">
        <v>1973</v>
      </c>
      <c r="Y356" s="1" t="s">
        <v>1973</v>
      </c>
      <c r="Z356" s="1" t="s">
        <v>18</v>
      </c>
      <c r="AA356" s="1" t="s">
        <v>1973</v>
      </c>
      <c r="AB356" s="1" t="s">
        <v>1974</v>
      </c>
      <c r="AC356" s="1" t="s">
        <v>1975</v>
      </c>
      <c r="AD356" s="1" t="s">
        <v>17</v>
      </c>
      <c r="AE356" s="1" t="s">
        <v>1976</v>
      </c>
      <c r="AF356" s="1" t="s">
        <v>19</v>
      </c>
      <c r="AG356" s="1" t="s">
        <v>19</v>
      </c>
      <c r="AH356" s="1" t="s">
        <v>1974</v>
      </c>
    </row>
    <row r="357" spans="2:34" ht="15">
      <c r="B357" s="4" t="s">
        <v>1524</v>
      </c>
      <c r="C357" s="5">
        <v>43643</v>
      </c>
      <c r="D357" s="4" t="s">
        <v>1</v>
      </c>
      <c r="E357" s="4" t="s">
        <v>642</v>
      </c>
      <c r="F357" s="4" t="s">
        <v>3</v>
      </c>
      <c r="G357" s="4" t="s">
        <v>4</v>
      </c>
      <c r="H357" s="4" t="s">
        <v>632</v>
      </c>
      <c r="I357" s="5">
        <v>43643</v>
      </c>
      <c r="J357" s="6">
        <v>0.42324074074074075</v>
      </c>
      <c r="K357" s="5">
        <v>43647</v>
      </c>
      <c r="L357" s="4" t="s">
        <v>6</v>
      </c>
      <c r="M357" s="4"/>
      <c r="N357" s="4" t="s">
        <v>316</v>
      </c>
      <c r="O357" s="4" t="s">
        <v>317</v>
      </c>
      <c r="P357" s="4" t="s">
        <v>318</v>
      </c>
      <c r="Q357" s="4" t="s">
        <v>4</v>
      </c>
      <c r="R357" s="4" t="s">
        <v>4</v>
      </c>
      <c r="S357" s="4" t="s">
        <v>10</v>
      </c>
      <c r="T357" s="4"/>
      <c r="U357" s="4"/>
      <c r="V357" s="4"/>
      <c r="W357" s="4" t="s">
        <v>27</v>
      </c>
      <c r="X357" s="4" t="s">
        <v>1977</v>
      </c>
      <c r="Y357" s="4" t="s">
        <v>1977</v>
      </c>
      <c r="Z357" s="4" t="s">
        <v>18</v>
      </c>
      <c r="AA357" s="4" t="s">
        <v>1977</v>
      </c>
      <c r="AB357" s="4" t="s">
        <v>1978</v>
      </c>
      <c r="AC357" s="4" t="s">
        <v>1979</v>
      </c>
      <c r="AD357" s="4" t="s">
        <v>17</v>
      </c>
      <c r="AE357" s="4" t="s">
        <v>1980</v>
      </c>
      <c r="AF357" s="4" t="s">
        <v>19</v>
      </c>
      <c r="AG357" s="4" t="s">
        <v>19</v>
      </c>
      <c r="AH357" s="4" t="s">
        <v>1978</v>
      </c>
    </row>
    <row r="358" spans="2:34" ht="15">
      <c r="B358" s="1" t="s">
        <v>153</v>
      </c>
      <c r="C358" s="2">
        <v>43643</v>
      </c>
      <c r="D358" s="1" t="s">
        <v>154</v>
      </c>
      <c r="E358" s="1" t="s">
        <v>1981</v>
      </c>
      <c r="F358" s="1" t="s">
        <v>3</v>
      </c>
      <c r="G358" s="1" t="s">
        <v>4</v>
      </c>
      <c r="H358" s="1" t="s">
        <v>632</v>
      </c>
      <c r="I358" s="2">
        <v>43643</v>
      </c>
      <c r="J358" s="3">
        <v>0.42324074074074075</v>
      </c>
      <c r="K358" s="2">
        <v>43647</v>
      </c>
      <c r="L358" s="1" t="s">
        <v>6</v>
      </c>
      <c r="M358" s="1"/>
      <c r="N358" s="1" t="s">
        <v>316</v>
      </c>
      <c r="O358" s="1" t="s">
        <v>317</v>
      </c>
      <c r="P358" s="1" t="s">
        <v>318</v>
      </c>
      <c r="Q358" s="1" t="s">
        <v>4</v>
      </c>
      <c r="R358" s="1" t="s">
        <v>4</v>
      </c>
      <c r="S358" s="1" t="s">
        <v>10</v>
      </c>
      <c r="T358" s="1"/>
      <c r="U358" s="1"/>
      <c r="V358" s="1"/>
      <c r="W358" s="1" t="s">
        <v>27</v>
      </c>
      <c r="X358" s="1" t="s">
        <v>1982</v>
      </c>
      <c r="Y358" s="1" t="s">
        <v>1982</v>
      </c>
      <c r="Z358" s="1" t="s">
        <v>18</v>
      </c>
      <c r="AA358" s="1" t="s">
        <v>1982</v>
      </c>
      <c r="AB358" s="1" t="s">
        <v>1983</v>
      </c>
      <c r="AC358" s="1" t="s">
        <v>1984</v>
      </c>
      <c r="AD358" s="1" t="s">
        <v>17</v>
      </c>
      <c r="AE358" s="1" t="s">
        <v>1985</v>
      </c>
      <c r="AF358" s="1" t="s">
        <v>19</v>
      </c>
      <c r="AG358" s="1" t="s">
        <v>19</v>
      </c>
      <c r="AH358" s="1" t="s">
        <v>1983</v>
      </c>
    </row>
    <row r="359" spans="2:34" ht="15">
      <c r="B359" s="4" t="s">
        <v>1518</v>
      </c>
      <c r="C359" s="5">
        <v>43644</v>
      </c>
      <c r="D359" s="4" t="s">
        <v>21</v>
      </c>
      <c r="E359" s="4" t="s">
        <v>1986</v>
      </c>
      <c r="F359" s="4" t="s">
        <v>3</v>
      </c>
      <c r="G359" s="4" t="s">
        <v>4</v>
      </c>
      <c r="H359" s="4" t="s">
        <v>325</v>
      </c>
      <c r="I359" s="5">
        <v>43643</v>
      </c>
      <c r="J359" s="6">
        <v>0.6666666666666666</v>
      </c>
      <c r="K359" s="5">
        <v>43662</v>
      </c>
      <c r="L359" s="4" t="s">
        <v>6</v>
      </c>
      <c r="M359" s="4"/>
      <c r="N359" s="4"/>
      <c r="O359" s="4" t="s">
        <v>597</v>
      </c>
      <c r="P359" s="4" t="s">
        <v>598</v>
      </c>
      <c r="Q359" s="4" t="s">
        <v>4</v>
      </c>
      <c r="R359" s="4" t="s">
        <v>85</v>
      </c>
      <c r="S359" s="4" t="s">
        <v>85</v>
      </c>
      <c r="T359" s="4"/>
      <c r="U359" s="4"/>
      <c r="V359" s="4"/>
      <c r="W359" s="4" t="s">
        <v>27</v>
      </c>
      <c r="X359" s="4" t="s">
        <v>1987</v>
      </c>
      <c r="Y359" s="4" t="s">
        <v>1987</v>
      </c>
      <c r="Z359" s="4" t="s">
        <v>18</v>
      </c>
      <c r="AA359" s="4" t="s">
        <v>1987</v>
      </c>
      <c r="AB359" s="4" t="s">
        <v>1987</v>
      </c>
      <c r="AC359" s="4" t="s">
        <v>17</v>
      </c>
      <c r="AD359" s="4" t="s">
        <v>17</v>
      </c>
      <c r="AE359" s="4" t="s">
        <v>17</v>
      </c>
      <c r="AF359" s="4" t="s">
        <v>19</v>
      </c>
      <c r="AG359" s="4" t="s">
        <v>19</v>
      </c>
      <c r="AH359" s="4" t="s">
        <v>1987</v>
      </c>
    </row>
    <row r="360" spans="2:34" ht="15">
      <c r="B360" s="11" t="s">
        <v>153</v>
      </c>
      <c r="C360" s="12">
        <v>43644</v>
      </c>
      <c r="D360" s="11" t="s">
        <v>154</v>
      </c>
      <c r="E360" s="11" t="s">
        <v>1988</v>
      </c>
      <c r="F360" s="11" t="s">
        <v>3</v>
      </c>
      <c r="G360" s="11" t="s">
        <v>4</v>
      </c>
      <c r="H360" s="11" t="s">
        <v>325</v>
      </c>
      <c r="I360" s="12">
        <v>43643</v>
      </c>
      <c r="J360" s="13">
        <v>0.6666666666666666</v>
      </c>
      <c r="K360" s="12">
        <v>43662</v>
      </c>
      <c r="L360" s="11" t="s">
        <v>6</v>
      </c>
      <c r="M360" s="11"/>
      <c r="N360" s="11"/>
      <c r="O360" s="11" t="s">
        <v>597</v>
      </c>
      <c r="P360" s="11" t="s">
        <v>598</v>
      </c>
      <c r="Q360" s="11" t="s">
        <v>4</v>
      </c>
      <c r="R360" s="11" t="s">
        <v>85</v>
      </c>
      <c r="S360" s="11" t="s">
        <v>85</v>
      </c>
      <c r="T360" s="11"/>
      <c r="U360" s="11"/>
      <c r="V360" s="11"/>
      <c r="W360" s="11" t="s">
        <v>27</v>
      </c>
      <c r="X360" s="11" t="s">
        <v>1989</v>
      </c>
      <c r="Y360" s="11" t="s">
        <v>1989</v>
      </c>
      <c r="Z360" s="11" t="s">
        <v>18</v>
      </c>
      <c r="AA360" s="11" t="s">
        <v>1989</v>
      </c>
      <c r="AB360" s="11" t="s">
        <v>1989</v>
      </c>
      <c r="AC360" s="11" t="s">
        <v>17</v>
      </c>
      <c r="AD360" s="11" t="s">
        <v>17</v>
      </c>
      <c r="AE360" s="11" t="s">
        <v>17</v>
      </c>
      <c r="AF360" s="11" t="s">
        <v>19</v>
      </c>
      <c r="AG360" s="11" t="s">
        <v>19</v>
      </c>
      <c r="AH360" s="11" t="s">
        <v>1989</v>
      </c>
    </row>
    <row r="361" spans="2:34" ht="15">
      <c r="B361" s="1" t="s">
        <v>1518</v>
      </c>
      <c r="C361" s="2">
        <v>43647</v>
      </c>
      <c r="D361" s="1" t="s">
        <v>21</v>
      </c>
      <c r="E361" s="1" t="s">
        <v>1990</v>
      </c>
      <c r="F361" s="1" t="s">
        <v>3</v>
      </c>
      <c r="G361" s="1" t="s">
        <v>4</v>
      </c>
      <c r="H361" s="1" t="s">
        <v>1174</v>
      </c>
      <c r="I361" s="2">
        <v>43644</v>
      </c>
      <c r="J361" s="3">
        <v>0.6301851851851852</v>
      </c>
      <c r="K361" s="2">
        <v>43648</v>
      </c>
      <c r="L361" s="1" t="s">
        <v>6</v>
      </c>
      <c r="M361" s="1"/>
      <c r="N361" s="1" t="s">
        <v>1175</v>
      </c>
      <c r="O361" s="1" t="s">
        <v>1176</v>
      </c>
      <c r="P361" s="1" t="s">
        <v>1177</v>
      </c>
      <c r="Q361" s="1" t="s">
        <v>4</v>
      </c>
      <c r="R361" s="1" t="s">
        <v>4</v>
      </c>
      <c r="S361" s="1" t="s">
        <v>10</v>
      </c>
      <c r="T361" s="1"/>
      <c r="U361" s="1"/>
      <c r="V361" s="1"/>
      <c r="W361" s="1" t="s">
        <v>11</v>
      </c>
      <c r="X361" s="1" t="s">
        <v>1991</v>
      </c>
      <c r="Y361" s="1" t="s">
        <v>1991</v>
      </c>
      <c r="Z361" s="1" t="s">
        <v>1992</v>
      </c>
      <c r="AA361" s="1" t="s">
        <v>1993</v>
      </c>
      <c r="AB361" s="1" t="s">
        <v>1994</v>
      </c>
      <c r="AC361" s="1" t="s">
        <v>1995</v>
      </c>
      <c r="AD361" s="1" t="s">
        <v>17</v>
      </c>
      <c r="AE361" s="1" t="s">
        <v>18</v>
      </c>
      <c r="AF361" s="1" t="s">
        <v>19</v>
      </c>
      <c r="AG361" s="1" t="s">
        <v>19</v>
      </c>
      <c r="AH361" s="1" t="s">
        <v>1994</v>
      </c>
    </row>
    <row r="362" spans="2:34" ht="15">
      <c r="B362" s="4" t="s">
        <v>1518</v>
      </c>
      <c r="C362" s="5">
        <v>43647</v>
      </c>
      <c r="D362" s="4" t="s">
        <v>21</v>
      </c>
      <c r="E362" s="4" t="s">
        <v>1996</v>
      </c>
      <c r="F362" s="4" t="s">
        <v>3</v>
      </c>
      <c r="G362" s="4" t="s">
        <v>4</v>
      </c>
      <c r="H362" s="4" t="s">
        <v>632</v>
      </c>
      <c r="I362" s="5">
        <v>43644</v>
      </c>
      <c r="J362" s="6">
        <v>0.6899421296296296</v>
      </c>
      <c r="K362" s="5">
        <v>43648</v>
      </c>
      <c r="L362" s="4" t="s">
        <v>6</v>
      </c>
      <c r="M362" s="4"/>
      <c r="N362" s="4" t="s">
        <v>1175</v>
      </c>
      <c r="O362" s="4" t="s">
        <v>1176</v>
      </c>
      <c r="P362" s="4" t="s">
        <v>1177</v>
      </c>
      <c r="Q362" s="4" t="s">
        <v>4</v>
      </c>
      <c r="R362" s="4" t="s">
        <v>4</v>
      </c>
      <c r="S362" s="4" t="s">
        <v>10</v>
      </c>
      <c r="T362" s="4"/>
      <c r="U362" s="4"/>
      <c r="V362" s="4"/>
      <c r="W362" s="4" t="s">
        <v>11</v>
      </c>
      <c r="X362" s="4" t="s">
        <v>319</v>
      </c>
      <c r="Y362" s="4" t="s">
        <v>319</v>
      </c>
      <c r="Z362" s="4" t="s">
        <v>1992</v>
      </c>
      <c r="AA362" s="4" t="s">
        <v>1997</v>
      </c>
      <c r="AB362" s="4" t="s">
        <v>1998</v>
      </c>
      <c r="AC362" s="4" t="s">
        <v>1999</v>
      </c>
      <c r="AD362" s="4" t="s">
        <v>17</v>
      </c>
      <c r="AE362" s="4" t="s">
        <v>18</v>
      </c>
      <c r="AF362" s="4" t="s">
        <v>19</v>
      </c>
      <c r="AG362" s="4" t="s">
        <v>19</v>
      </c>
      <c r="AH362" s="4" t="s">
        <v>1998</v>
      </c>
    </row>
    <row r="363" spans="2:34" ht="15">
      <c r="B363" s="1" t="s">
        <v>1518</v>
      </c>
      <c r="C363" s="2">
        <v>43647</v>
      </c>
      <c r="D363" s="1" t="s">
        <v>21</v>
      </c>
      <c r="E363" s="1" t="s">
        <v>2000</v>
      </c>
      <c r="F363" s="1" t="s">
        <v>3</v>
      </c>
      <c r="G363" s="1" t="s">
        <v>4</v>
      </c>
      <c r="H363" s="1" t="s">
        <v>632</v>
      </c>
      <c r="I363" s="2">
        <v>43644</v>
      </c>
      <c r="J363" s="3">
        <v>0.6906018518518519</v>
      </c>
      <c r="K363" s="2">
        <v>43648</v>
      </c>
      <c r="L363" s="1" t="s">
        <v>6</v>
      </c>
      <c r="M363" s="1"/>
      <c r="N363" s="1" t="s">
        <v>712</v>
      </c>
      <c r="O363" s="1" t="s">
        <v>428</v>
      </c>
      <c r="P363" s="1" t="s">
        <v>713</v>
      </c>
      <c r="Q363" s="1" t="s">
        <v>4</v>
      </c>
      <c r="R363" s="1" t="s">
        <v>4</v>
      </c>
      <c r="S363" s="1" t="s">
        <v>10</v>
      </c>
      <c r="T363" s="1"/>
      <c r="U363" s="1"/>
      <c r="V363" s="1"/>
      <c r="W363" s="1" t="s">
        <v>11</v>
      </c>
      <c r="X363" s="1" t="s">
        <v>1765</v>
      </c>
      <c r="Y363" s="1" t="s">
        <v>1765</v>
      </c>
      <c r="Z363" s="1" t="s">
        <v>2001</v>
      </c>
      <c r="AA363" s="1" t="s">
        <v>2002</v>
      </c>
      <c r="AB363" s="1" t="s">
        <v>2003</v>
      </c>
      <c r="AC363" s="1" t="s">
        <v>2004</v>
      </c>
      <c r="AD363" s="1" t="s">
        <v>17</v>
      </c>
      <c r="AE363" s="1" t="s">
        <v>18</v>
      </c>
      <c r="AF363" s="1" t="s">
        <v>19</v>
      </c>
      <c r="AG363" s="1" t="s">
        <v>19</v>
      </c>
      <c r="AH363" s="1" t="s">
        <v>2003</v>
      </c>
    </row>
    <row r="364" spans="2:34" ht="15">
      <c r="B364" s="4" t="s">
        <v>1518</v>
      </c>
      <c r="C364" s="5">
        <v>43647</v>
      </c>
      <c r="D364" s="4" t="s">
        <v>21</v>
      </c>
      <c r="E364" s="4" t="s">
        <v>2005</v>
      </c>
      <c r="F364" s="4" t="s">
        <v>3</v>
      </c>
      <c r="G364" s="4" t="s">
        <v>4</v>
      </c>
      <c r="H364" s="4" t="s">
        <v>90</v>
      </c>
      <c r="I364" s="5">
        <v>43644</v>
      </c>
      <c r="J364" s="6">
        <v>0.6934953703703703</v>
      </c>
      <c r="K364" s="5">
        <v>43648</v>
      </c>
      <c r="L364" s="4" t="s">
        <v>6</v>
      </c>
      <c r="M364" s="4"/>
      <c r="N364" s="4" t="s">
        <v>712</v>
      </c>
      <c r="O364" s="4" t="s">
        <v>428</v>
      </c>
      <c r="P364" s="4" t="s">
        <v>713</v>
      </c>
      <c r="Q364" s="4" t="s">
        <v>4</v>
      </c>
      <c r="R364" s="4" t="s">
        <v>4</v>
      </c>
      <c r="S364" s="4" t="s">
        <v>10</v>
      </c>
      <c r="T364" s="4"/>
      <c r="U364" s="4"/>
      <c r="V364" s="4"/>
      <c r="W364" s="4" t="s">
        <v>11</v>
      </c>
      <c r="X364" s="4" t="s">
        <v>113</v>
      </c>
      <c r="Y364" s="4" t="s">
        <v>113</v>
      </c>
      <c r="Z364" s="4" t="s">
        <v>347</v>
      </c>
      <c r="AA364" s="4" t="s">
        <v>2006</v>
      </c>
      <c r="AB364" s="4" t="s">
        <v>2007</v>
      </c>
      <c r="AC364" s="4" t="s">
        <v>2008</v>
      </c>
      <c r="AD364" s="4" t="s">
        <v>17</v>
      </c>
      <c r="AE364" s="4" t="s">
        <v>18</v>
      </c>
      <c r="AF364" s="4" t="s">
        <v>19</v>
      </c>
      <c r="AG364" s="4" t="s">
        <v>19</v>
      </c>
      <c r="AH364" s="4" t="s">
        <v>2007</v>
      </c>
    </row>
    <row r="365" spans="2:34" ht="15">
      <c r="B365" s="1" t="s">
        <v>1524</v>
      </c>
      <c r="C365" s="2">
        <v>43647</v>
      </c>
      <c r="D365" s="1" t="s">
        <v>1</v>
      </c>
      <c r="E365" s="1" t="s">
        <v>874</v>
      </c>
      <c r="F365" s="1" t="s">
        <v>3</v>
      </c>
      <c r="G365" s="1" t="s">
        <v>4</v>
      </c>
      <c r="H365" s="1" t="s">
        <v>632</v>
      </c>
      <c r="I365" s="2">
        <v>43644</v>
      </c>
      <c r="J365" s="3">
        <v>0.5</v>
      </c>
      <c r="K365" s="2">
        <v>43648</v>
      </c>
      <c r="L365" s="1" t="s">
        <v>6</v>
      </c>
      <c r="M365" s="1"/>
      <c r="N365" s="1" t="s">
        <v>250</v>
      </c>
      <c r="O365" s="1" t="s">
        <v>251</v>
      </c>
      <c r="P365" s="1" t="s">
        <v>252</v>
      </c>
      <c r="Q365" s="1" t="s">
        <v>4</v>
      </c>
      <c r="R365" s="1" t="s">
        <v>4</v>
      </c>
      <c r="S365" s="1" t="s">
        <v>10</v>
      </c>
      <c r="T365" s="1"/>
      <c r="U365" s="1"/>
      <c r="V365" s="1"/>
      <c r="W365" s="1" t="s">
        <v>11</v>
      </c>
      <c r="X365" s="1" t="s">
        <v>2009</v>
      </c>
      <c r="Y365" s="1" t="s">
        <v>2009</v>
      </c>
      <c r="Z365" s="1" t="s">
        <v>2010</v>
      </c>
      <c r="AA365" s="1" t="s">
        <v>2011</v>
      </c>
      <c r="AB365" s="1" t="s">
        <v>2012</v>
      </c>
      <c r="AC365" s="1" t="s">
        <v>2013</v>
      </c>
      <c r="AD365" s="1" t="s">
        <v>17</v>
      </c>
      <c r="AE365" s="1" t="s">
        <v>18</v>
      </c>
      <c r="AF365" s="1" t="s">
        <v>19</v>
      </c>
      <c r="AG365" s="1" t="s">
        <v>19</v>
      </c>
      <c r="AH365" s="1" t="s">
        <v>2012</v>
      </c>
    </row>
    <row r="366" spans="2:34" ht="15">
      <c r="B366" s="4" t="s">
        <v>153</v>
      </c>
      <c r="C366" s="5">
        <v>43647</v>
      </c>
      <c r="D366" s="4" t="s">
        <v>154</v>
      </c>
      <c r="E366" s="4" t="s">
        <v>2014</v>
      </c>
      <c r="F366" s="4" t="s">
        <v>3</v>
      </c>
      <c r="G366" s="4" t="s">
        <v>4</v>
      </c>
      <c r="H366" s="4" t="s">
        <v>632</v>
      </c>
      <c r="I366" s="5">
        <v>43644</v>
      </c>
      <c r="J366" s="6">
        <v>0.5</v>
      </c>
      <c r="K366" s="5">
        <v>43648</v>
      </c>
      <c r="L366" s="4" t="s">
        <v>6</v>
      </c>
      <c r="M366" s="4"/>
      <c r="N366" s="4" t="s">
        <v>250</v>
      </c>
      <c r="O366" s="4" t="s">
        <v>251</v>
      </c>
      <c r="P366" s="4" t="s">
        <v>252</v>
      </c>
      <c r="Q366" s="4" t="s">
        <v>4</v>
      </c>
      <c r="R366" s="4" t="s">
        <v>4</v>
      </c>
      <c r="S366" s="4" t="s">
        <v>10</v>
      </c>
      <c r="T366" s="4"/>
      <c r="U366" s="4"/>
      <c r="V366" s="4"/>
      <c r="W366" s="4" t="s">
        <v>11</v>
      </c>
      <c r="X366" s="4" t="s">
        <v>2015</v>
      </c>
      <c r="Y366" s="4" t="s">
        <v>2015</v>
      </c>
      <c r="Z366" s="4" t="s">
        <v>2010</v>
      </c>
      <c r="AA366" s="4" t="s">
        <v>2016</v>
      </c>
      <c r="AB366" s="4" t="s">
        <v>2017</v>
      </c>
      <c r="AC366" s="4" t="s">
        <v>2018</v>
      </c>
      <c r="AD366" s="4" t="s">
        <v>17</v>
      </c>
      <c r="AE366" s="4" t="s">
        <v>18</v>
      </c>
      <c r="AF366" s="4" t="s">
        <v>19</v>
      </c>
      <c r="AG366" s="4" t="s">
        <v>19</v>
      </c>
      <c r="AH366" s="4" t="s">
        <v>2017</v>
      </c>
    </row>
    <row r="367" spans="2:34" ht="15">
      <c r="B367" s="1" t="s">
        <v>1524</v>
      </c>
      <c r="C367" s="2">
        <v>43648</v>
      </c>
      <c r="D367" s="1" t="s">
        <v>1</v>
      </c>
      <c r="E367" s="1" t="s">
        <v>884</v>
      </c>
      <c r="F367" s="1" t="s">
        <v>3</v>
      </c>
      <c r="G367" s="1" t="s">
        <v>4</v>
      </c>
      <c r="H367" s="1" t="s">
        <v>632</v>
      </c>
      <c r="I367" s="2">
        <v>43647</v>
      </c>
      <c r="J367" s="3">
        <v>0.4753935185185185</v>
      </c>
      <c r="K367" s="2">
        <v>43649</v>
      </c>
      <c r="L367" s="1" t="s">
        <v>6</v>
      </c>
      <c r="M367" s="1"/>
      <c r="N367" s="1" t="s">
        <v>391</v>
      </c>
      <c r="O367" s="1" t="s">
        <v>392</v>
      </c>
      <c r="P367" s="1" t="s">
        <v>698</v>
      </c>
      <c r="Q367" s="1" t="s">
        <v>4</v>
      </c>
      <c r="R367" s="1" t="s">
        <v>4</v>
      </c>
      <c r="S367" s="1" t="s">
        <v>10</v>
      </c>
      <c r="T367" s="1"/>
      <c r="U367" s="1"/>
      <c r="V367" s="1"/>
      <c r="W367" s="1" t="s">
        <v>11</v>
      </c>
      <c r="X367" s="1" t="s">
        <v>376</v>
      </c>
      <c r="Y367" s="1" t="s">
        <v>376</v>
      </c>
      <c r="Z367" s="1" t="s">
        <v>2019</v>
      </c>
      <c r="AA367" s="1" t="s">
        <v>2020</v>
      </c>
      <c r="AB367" s="1" t="s">
        <v>2021</v>
      </c>
      <c r="AC367" s="1" t="s">
        <v>2022</v>
      </c>
      <c r="AD367" s="1" t="s">
        <v>17</v>
      </c>
      <c r="AE367" s="1" t="s">
        <v>18</v>
      </c>
      <c r="AF367" s="1" t="s">
        <v>19</v>
      </c>
      <c r="AG367" s="1" t="s">
        <v>19</v>
      </c>
      <c r="AH367" s="1" t="s">
        <v>2021</v>
      </c>
    </row>
    <row r="368" spans="2:34" ht="15">
      <c r="B368" s="4" t="s">
        <v>1518</v>
      </c>
      <c r="C368" s="5">
        <v>43650</v>
      </c>
      <c r="D368" s="4" t="s">
        <v>21</v>
      </c>
      <c r="E368" s="4" t="s">
        <v>2023</v>
      </c>
      <c r="F368" s="4" t="s">
        <v>3</v>
      </c>
      <c r="G368" s="4" t="s">
        <v>4</v>
      </c>
      <c r="H368" s="4" t="s">
        <v>126</v>
      </c>
      <c r="I368" s="5">
        <v>43649</v>
      </c>
      <c r="J368" s="6">
        <v>0.6633564814814815</v>
      </c>
      <c r="K368" s="5">
        <v>43651</v>
      </c>
      <c r="L368" s="4" t="s">
        <v>6</v>
      </c>
      <c r="M368" s="4"/>
      <c r="N368" s="4" t="s">
        <v>1175</v>
      </c>
      <c r="O368" s="4" t="s">
        <v>1176</v>
      </c>
      <c r="P368" s="4" t="s">
        <v>1177</v>
      </c>
      <c r="Q368" s="4" t="s">
        <v>4</v>
      </c>
      <c r="R368" s="4" t="s">
        <v>4</v>
      </c>
      <c r="S368" s="4" t="s">
        <v>10</v>
      </c>
      <c r="T368" s="4"/>
      <c r="U368" s="4"/>
      <c r="V368" s="4"/>
      <c r="W368" s="4" t="s">
        <v>11</v>
      </c>
      <c r="X368" s="4" t="s">
        <v>319</v>
      </c>
      <c r="Y368" s="4" t="s">
        <v>319</v>
      </c>
      <c r="Z368" s="4" t="s">
        <v>2001</v>
      </c>
      <c r="AA368" s="4" t="s">
        <v>2024</v>
      </c>
      <c r="AB368" s="4" t="s">
        <v>2025</v>
      </c>
      <c r="AC368" s="4" t="s">
        <v>2026</v>
      </c>
      <c r="AD368" s="4" t="s">
        <v>17</v>
      </c>
      <c r="AE368" s="4" t="s">
        <v>18</v>
      </c>
      <c r="AF368" s="4" t="s">
        <v>19</v>
      </c>
      <c r="AG368" s="4" t="s">
        <v>19</v>
      </c>
      <c r="AH368" s="4" t="s">
        <v>2025</v>
      </c>
    </row>
    <row r="369" spans="2:34" ht="15">
      <c r="B369" s="1" t="s">
        <v>1518</v>
      </c>
      <c r="C369" s="2">
        <v>43650</v>
      </c>
      <c r="D369" s="1" t="s">
        <v>21</v>
      </c>
      <c r="E369" s="1" t="s">
        <v>2027</v>
      </c>
      <c r="F369" s="1" t="s">
        <v>3</v>
      </c>
      <c r="G369" s="1" t="s">
        <v>4</v>
      </c>
      <c r="H369" s="1" t="s">
        <v>126</v>
      </c>
      <c r="I369" s="2">
        <v>43649</v>
      </c>
      <c r="J369" s="3">
        <v>0.7129861111111111</v>
      </c>
      <c r="K369" s="2">
        <v>43651</v>
      </c>
      <c r="L369" s="1" t="s">
        <v>6</v>
      </c>
      <c r="M369" s="1"/>
      <c r="N369" s="1" t="s">
        <v>1175</v>
      </c>
      <c r="O369" s="1" t="s">
        <v>1176</v>
      </c>
      <c r="P369" s="1" t="s">
        <v>1177</v>
      </c>
      <c r="Q369" s="1" t="s">
        <v>4</v>
      </c>
      <c r="R369" s="1" t="s">
        <v>4</v>
      </c>
      <c r="S369" s="1" t="s">
        <v>10</v>
      </c>
      <c r="T369" s="1"/>
      <c r="U369" s="1"/>
      <c r="V369" s="1"/>
      <c r="W369" s="1" t="s">
        <v>11</v>
      </c>
      <c r="X369" s="1" t="s">
        <v>113</v>
      </c>
      <c r="Y369" s="1" t="s">
        <v>113</v>
      </c>
      <c r="Z369" s="1" t="s">
        <v>2001</v>
      </c>
      <c r="AA369" s="1" t="s">
        <v>2028</v>
      </c>
      <c r="AB369" s="1" t="s">
        <v>2029</v>
      </c>
      <c r="AC369" s="1" t="s">
        <v>2030</v>
      </c>
      <c r="AD369" s="1" t="s">
        <v>17</v>
      </c>
      <c r="AE369" s="1" t="s">
        <v>18</v>
      </c>
      <c r="AF369" s="1" t="s">
        <v>19</v>
      </c>
      <c r="AG369" s="1" t="s">
        <v>19</v>
      </c>
      <c r="AH369" s="1" t="s">
        <v>2029</v>
      </c>
    </row>
    <row r="370" spans="2:34" ht="15">
      <c r="B370" s="4" t="s">
        <v>1518</v>
      </c>
      <c r="C370" s="5">
        <v>43651</v>
      </c>
      <c r="D370" s="4" t="s">
        <v>21</v>
      </c>
      <c r="E370" s="4" t="s">
        <v>2031</v>
      </c>
      <c r="F370" s="4" t="s">
        <v>3</v>
      </c>
      <c r="G370" s="4" t="s">
        <v>4</v>
      </c>
      <c r="H370" s="4" t="s">
        <v>109</v>
      </c>
      <c r="I370" s="5">
        <v>43650</v>
      </c>
      <c r="J370" s="6">
        <v>0.5729166666666666</v>
      </c>
      <c r="K370" s="5">
        <v>43654</v>
      </c>
      <c r="L370" s="4" t="s">
        <v>6</v>
      </c>
      <c r="M370" s="4"/>
      <c r="N370" s="4" t="s">
        <v>145</v>
      </c>
      <c r="O370" s="4" t="s">
        <v>146</v>
      </c>
      <c r="P370" s="4" t="s">
        <v>147</v>
      </c>
      <c r="Q370" s="4" t="s">
        <v>4</v>
      </c>
      <c r="R370" s="4" t="s">
        <v>4</v>
      </c>
      <c r="S370" s="4" t="s">
        <v>10</v>
      </c>
      <c r="T370" s="4"/>
      <c r="U370" s="4"/>
      <c r="V370" s="4"/>
      <c r="W370" s="4" t="s">
        <v>11</v>
      </c>
      <c r="X370" s="4" t="s">
        <v>107</v>
      </c>
      <c r="Y370" s="4" t="s">
        <v>107</v>
      </c>
      <c r="Z370" s="4" t="s">
        <v>2032</v>
      </c>
      <c r="AA370" s="4" t="s">
        <v>2033</v>
      </c>
      <c r="AB370" s="4" t="s">
        <v>2034</v>
      </c>
      <c r="AC370" s="4" t="s">
        <v>2035</v>
      </c>
      <c r="AD370" s="4" t="s">
        <v>17</v>
      </c>
      <c r="AE370" s="4" t="s">
        <v>18</v>
      </c>
      <c r="AF370" s="4" t="s">
        <v>19</v>
      </c>
      <c r="AG370" s="4" t="s">
        <v>19</v>
      </c>
      <c r="AH370" s="4" t="s">
        <v>2034</v>
      </c>
    </row>
    <row r="371" spans="2:34" ht="15">
      <c r="B371" s="1" t="s">
        <v>1518</v>
      </c>
      <c r="C371" s="2">
        <v>43651</v>
      </c>
      <c r="D371" s="1" t="s">
        <v>21</v>
      </c>
      <c r="E371" s="1" t="s">
        <v>2036</v>
      </c>
      <c r="F371" s="1" t="s">
        <v>3</v>
      </c>
      <c r="G371" s="1" t="s">
        <v>4</v>
      </c>
      <c r="H371" s="1" t="s">
        <v>119</v>
      </c>
      <c r="I371" s="2">
        <v>43650</v>
      </c>
      <c r="J371" s="3">
        <v>0.4873032407407407</v>
      </c>
      <c r="K371" s="2">
        <v>43654</v>
      </c>
      <c r="L371" s="1" t="s">
        <v>6</v>
      </c>
      <c r="M371" s="1"/>
      <c r="N371" s="1" t="s">
        <v>110</v>
      </c>
      <c r="O371" s="1" t="s">
        <v>111</v>
      </c>
      <c r="P371" s="1" t="s">
        <v>112</v>
      </c>
      <c r="Q371" s="1" t="s">
        <v>4</v>
      </c>
      <c r="R371" s="1" t="s">
        <v>4</v>
      </c>
      <c r="S371" s="1" t="s">
        <v>10</v>
      </c>
      <c r="T371" s="1"/>
      <c r="U371" s="1"/>
      <c r="V371" s="1"/>
      <c r="W371" s="1" t="s">
        <v>11</v>
      </c>
      <c r="X371" s="1" t="s">
        <v>959</v>
      </c>
      <c r="Y371" s="1" t="s">
        <v>959</v>
      </c>
      <c r="Z371" s="1" t="s">
        <v>413</v>
      </c>
      <c r="AA371" s="1" t="s">
        <v>2037</v>
      </c>
      <c r="AB371" s="1" t="s">
        <v>2038</v>
      </c>
      <c r="AC371" s="1" t="s">
        <v>2039</v>
      </c>
      <c r="AD371" s="1" t="s">
        <v>17</v>
      </c>
      <c r="AE371" s="1" t="s">
        <v>18</v>
      </c>
      <c r="AF371" s="1" t="s">
        <v>19</v>
      </c>
      <c r="AG371" s="1" t="s">
        <v>19</v>
      </c>
      <c r="AH371" s="1" t="s">
        <v>2038</v>
      </c>
    </row>
    <row r="372" spans="2:34" ht="15">
      <c r="B372" s="4" t="s">
        <v>1518</v>
      </c>
      <c r="C372" s="5">
        <v>43651</v>
      </c>
      <c r="D372" s="4" t="s">
        <v>21</v>
      </c>
      <c r="E372" s="4" t="s">
        <v>2040</v>
      </c>
      <c r="F372" s="4" t="s">
        <v>3</v>
      </c>
      <c r="G372" s="4" t="s">
        <v>4</v>
      </c>
      <c r="H372" s="4" t="s">
        <v>119</v>
      </c>
      <c r="I372" s="5">
        <v>43650</v>
      </c>
      <c r="J372" s="6">
        <v>0.6240972222222222</v>
      </c>
      <c r="K372" s="5">
        <v>43654</v>
      </c>
      <c r="L372" s="4" t="s">
        <v>6</v>
      </c>
      <c r="M372" s="4"/>
      <c r="N372" s="4" t="s">
        <v>110</v>
      </c>
      <c r="O372" s="4" t="s">
        <v>111</v>
      </c>
      <c r="P372" s="4" t="s">
        <v>112</v>
      </c>
      <c r="Q372" s="4" t="s">
        <v>4</v>
      </c>
      <c r="R372" s="4" t="s">
        <v>4</v>
      </c>
      <c r="S372" s="4" t="s">
        <v>10</v>
      </c>
      <c r="T372" s="4"/>
      <c r="U372" s="4"/>
      <c r="V372" s="4"/>
      <c r="W372" s="4" t="s">
        <v>11</v>
      </c>
      <c r="X372" s="4" t="s">
        <v>2041</v>
      </c>
      <c r="Y372" s="4" t="s">
        <v>2041</v>
      </c>
      <c r="Z372" s="4" t="s">
        <v>413</v>
      </c>
      <c r="AA372" s="4" t="s">
        <v>2042</v>
      </c>
      <c r="AB372" s="4" t="s">
        <v>2043</v>
      </c>
      <c r="AC372" s="4" t="s">
        <v>2044</v>
      </c>
      <c r="AD372" s="4" t="s">
        <v>17</v>
      </c>
      <c r="AE372" s="4" t="s">
        <v>18</v>
      </c>
      <c r="AF372" s="4" t="s">
        <v>19</v>
      </c>
      <c r="AG372" s="4" t="s">
        <v>19</v>
      </c>
      <c r="AH372" s="4" t="s">
        <v>2043</v>
      </c>
    </row>
    <row r="373" spans="2:34" ht="15">
      <c r="B373" s="1" t="s">
        <v>1518</v>
      </c>
      <c r="C373" s="2">
        <v>43651</v>
      </c>
      <c r="D373" s="1" t="s">
        <v>21</v>
      </c>
      <c r="E373" s="1" t="s">
        <v>2045</v>
      </c>
      <c r="F373" s="1" t="s">
        <v>3</v>
      </c>
      <c r="G373" s="1" t="s">
        <v>4</v>
      </c>
      <c r="H373" s="1" t="s">
        <v>632</v>
      </c>
      <c r="I373" s="2">
        <v>43650</v>
      </c>
      <c r="J373" s="3">
        <v>0.6934837962962963</v>
      </c>
      <c r="K373" s="2">
        <v>43654</v>
      </c>
      <c r="L373" s="1" t="s">
        <v>6</v>
      </c>
      <c r="M373" s="1"/>
      <c r="N373" s="1" t="s">
        <v>110</v>
      </c>
      <c r="O373" s="1" t="s">
        <v>111</v>
      </c>
      <c r="P373" s="1" t="s">
        <v>112</v>
      </c>
      <c r="Q373" s="1" t="s">
        <v>4</v>
      </c>
      <c r="R373" s="1" t="s">
        <v>4</v>
      </c>
      <c r="S373" s="1" t="s">
        <v>10</v>
      </c>
      <c r="T373" s="1"/>
      <c r="U373" s="1"/>
      <c r="V373" s="1"/>
      <c r="W373" s="1" t="s">
        <v>11</v>
      </c>
      <c r="X373" s="1" t="s">
        <v>113</v>
      </c>
      <c r="Y373" s="1" t="s">
        <v>113</v>
      </c>
      <c r="Z373" s="1" t="s">
        <v>413</v>
      </c>
      <c r="AA373" s="1" t="s">
        <v>2046</v>
      </c>
      <c r="AB373" s="1" t="s">
        <v>2047</v>
      </c>
      <c r="AC373" s="1" t="s">
        <v>2048</v>
      </c>
      <c r="AD373" s="1" t="s">
        <v>17</v>
      </c>
      <c r="AE373" s="1" t="s">
        <v>18</v>
      </c>
      <c r="AF373" s="1" t="s">
        <v>19</v>
      </c>
      <c r="AG373" s="1" t="s">
        <v>19</v>
      </c>
      <c r="AH373" s="1" t="s">
        <v>2047</v>
      </c>
    </row>
    <row r="374" spans="2:34" ht="15">
      <c r="B374" s="4" t="s">
        <v>1518</v>
      </c>
      <c r="C374" s="5">
        <v>43651</v>
      </c>
      <c r="D374" s="4" t="s">
        <v>21</v>
      </c>
      <c r="E374" s="4" t="s">
        <v>2049</v>
      </c>
      <c r="F374" s="4" t="s">
        <v>3</v>
      </c>
      <c r="G374" s="4" t="s">
        <v>4</v>
      </c>
      <c r="H374" s="4" t="s">
        <v>126</v>
      </c>
      <c r="I374" s="5">
        <v>43650</v>
      </c>
      <c r="J374" s="6">
        <v>0.6949537037037037</v>
      </c>
      <c r="K374" s="5">
        <v>43654</v>
      </c>
      <c r="L374" s="4" t="s">
        <v>6</v>
      </c>
      <c r="M374" s="4"/>
      <c r="N374" s="4" t="s">
        <v>1175</v>
      </c>
      <c r="O374" s="4" t="s">
        <v>1176</v>
      </c>
      <c r="P374" s="4" t="s">
        <v>1177</v>
      </c>
      <c r="Q374" s="4" t="s">
        <v>4</v>
      </c>
      <c r="R374" s="4" t="s">
        <v>4</v>
      </c>
      <c r="S374" s="4" t="s">
        <v>10</v>
      </c>
      <c r="T374" s="4"/>
      <c r="U374" s="4"/>
      <c r="V374" s="4"/>
      <c r="W374" s="4" t="s">
        <v>11</v>
      </c>
      <c r="X374" s="4" t="s">
        <v>319</v>
      </c>
      <c r="Y374" s="4" t="s">
        <v>319</v>
      </c>
      <c r="Z374" s="4" t="s">
        <v>2001</v>
      </c>
      <c r="AA374" s="4" t="s">
        <v>2024</v>
      </c>
      <c r="AB374" s="4" t="s">
        <v>2025</v>
      </c>
      <c r="AC374" s="4" t="s">
        <v>2026</v>
      </c>
      <c r="AD374" s="4" t="s">
        <v>17</v>
      </c>
      <c r="AE374" s="4" t="s">
        <v>18</v>
      </c>
      <c r="AF374" s="4" t="s">
        <v>19</v>
      </c>
      <c r="AG374" s="4" t="s">
        <v>19</v>
      </c>
      <c r="AH374" s="4" t="s">
        <v>2025</v>
      </c>
    </row>
    <row r="375" spans="2:34" ht="15">
      <c r="B375" s="1" t="s">
        <v>1518</v>
      </c>
      <c r="C375" s="2">
        <v>43654</v>
      </c>
      <c r="D375" s="1" t="s">
        <v>21</v>
      </c>
      <c r="E375" s="1" t="s">
        <v>2050</v>
      </c>
      <c r="F375" s="1" t="s">
        <v>3</v>
      </c>
      <c r="G375" s="1" t="s">
        <v>4</v>
      </c>
      <c r="H375" s="1" t="s">
        <v>126</v>
      </c>
      <c r="I375" s="2">
        <v>43651</v>
      </c>
      <c r="J375" s="3">
        <v>0.6621759259259259</v>
      </c>
      <c r="K375" s="2">
        <v>43655</v>
      </c>
      <c r="L375" s="1" t="s">
        <v>6</v>
      </c>
      <c r="M375" s="1"/>
      <c r="N375" s="1" t="s">
        <v>459</v>
      </c>
      <c r="O375" s="1" t="s">
        <v>460</v>
      </c>
      <c r="P375" s="1" t="s">
        <v>461</v>
      </c>
      <c r="Q375" s="1" t="s">
        <v>4</v>
      </c>
      <c r="R375" s="1" t="s">
        <v>4</v>
      </c>
      <c r="S375" s="1" t="s">
        <v>10</v>
      </c>
      <c r="T375" s="1"/>
      <c r="U375" s="1"/>
      <c r="V375" s="1"/>
      <c r="W375" s="1" t="s">
        <v>11</v>
      </c>
      <c r="X375" s="1" t="s">
        <v>42</v>
      </c>
      <c r="Y375" s="1" t="s">
        <v>42</v>
      </c>
      <c r="Z375" s="1" t="s">
        <v>1539</v>
      </c>
      <c r="AA375" s="1" t="s">
        <v>2051</v>
      </c>
      <c r="AB375" s="1" t="s">
        <v>2052</v>
      </c>
      <c r="AC375" s="1" t="s">
        <v>2053</v>
      </c>
      <c r="AD375" s="1" t="s">
        <v>17</v>
      </c>
      <c r="AE375" s="1" t="s">
        <v>18</v>
      </c>
      <c r="AF375" s="1" t="s">
        <v>19</v>
      </c>
      <c r="AG375" s="1" t="s">
        <v>19</v>
      </c>
      <c r="AH375" s="1" t="s">
        <v>2052</v>
      </c>
    </row>
    <row r="376" spans="2:34" ht="15">
      <c r="B376" s="4" t="s">
        <v>1518</v>
      </c>
      <c r="C376" s="5">
        <v>43654</v>
      </c>
      <c r="D376" s="4" t="s">
        <v>21</v>
      </c>
      <c r="E376" s="4" t="s">
        <v>2054</v>
      </c>
      <c r="F376" s="4" t="s">
        <v>3</v>
      </c>
      <c r="G376" s="4" t="s">
        <v>4</v>
      </c>
      <c r="H376" s="4" t="s">
        <v>1277</v>
      </c>
      <c r="I376" s="5">
        <v>43651</v>
      </c>
      <c r="J376" s="6">
        <v>0.5347222222222222</v>
      </c>
      <c r="K376" s="5">
        <v>43655</v>
      </c>
      <c r="L376" s="4" t="s">
        <v>6</v>
      </c>
      <c r="M376" s="4"/>
      <c r="N376" s="4" t="s">
        <v>459</v>
      </c>
      <c r="O376" s="4" t="s">
        <v>460</v>
      </c>
      <c r="P376" s="4" t="s">
        <v>461</v>
      </c>
      <c r="Q376" s="4" t="s">
        <v>4</v>
      </c>
      <c r="R376" s="4" t="s">
        <v>4</v>
      </c>
      <c r="S376" s="4" t="s">
        <v>10</v>
      </c>
      <c r="T376" s="4"/>
      <c r="U376" s="4"/>
      <c r="V376" s="4"/>
      <c r="W376" s="4" t="s">
        <v>11</v>
      </c>
      <c r="X376" s="4" t="s">
        <v>1025</v>
      </c>
      <c r="Y376" s="4" t="s">
        <v>1025</v>
      </c>
      <c r="Z376" s="4" t="s">
        <v>2055</v>
      </c>
      <c r="AA376" s="4" t="s">
        <v>2056</v>
      </c>
      <c r="AB376" s="4" t="s">
        <v>2057</v>
      </c>
      <c r="AC376" s="4" t="s">
        <v>2058</v>
      </c>
      <c r="AD376" s="4" t="s">
        <v>17</v>
      </c>
      <c r="AE376" s="4" t="s">
        <v>18</v>
      </c>
      <c r="AF376" s="4" t="s">
        <v>19</v>
      </c>
      <c r="AG376" s="4" t="s">
        <v>19</v>
      </c>
      <c r="AH376" s="4" t="s">
        <v>2057</v>
      </c>
    </row>
    <row r="377" spans="2:34" ht="15">
      <c r="B377" s="1" t="s">
        <v>1518</v>
      </c>
      <c r="C377" s="2">
        <v>43654</v>
      </c>
      <c r="D377" s="1" t="s">
        <v>21</v>
      </c>
      <c r="E377" s="1" t="s">
        <v>2059</v>
      </c>
      <c r="F377" s="1" t="s">
        <v>3</v>
      </c>
      <c r="G377" s="1" t="s">
        <v>4</v>
      </c>
      <c r="H377" s="1" t="s">
        <v>1277</v>
      </c>
      <c r="I377" s="2">
        <v>43651</v>
      </c>
      <c r="J377" s="3">
        <v>0.6256944444444444</v>
      </c>
      <c r="K377" s="2">
        <v>43655</v>
      </c>
      <c r="L377" s="1" t="s">
        <v>6</v>
      </c>
      <c r="M377" s="1"/>
      <c r="N377" s="1" t="s">
        <v>459</v>
      </c>
      <c r="O377" s="1" t="s">
        <v>460</v>
      </c>
      <c r="P377" s="1" t="s">
        <v>461</v>
      </c>
      <c r="Q377" s="1" t="s">
        <v>4</v>
      </c>
      <c r="R377" s="1" t="s">
        <v>4</v>
      </c>
      <c r="S377" s="1" t="s">
        <v>10</v>
      </c>
      <c r="T377" s="1"/>
      <c r="U377" s="1"/>
      <c r="V377" s="1"/>
      <c r="W377" s="1" t="s">
        <v>11</v>
      </c>
      <c r="X377" s="1" t="s">
        <v>2041</v>
      </c>
      <c r="Y377" s="1" t="s">
        <v>2041</v>
      </c>
      <c r="Z377" s="1" t="s">
        <v>2055</v>
      </c>
      <c r="AA377" s="1" t="s">
        <v>2060</v>
      </c>
      <c r="AB377" s="1" t="s">
        <v>2061</v>
      </c>
      <c r="AC377" s="1" t="s">
        <v>2062</v>
      </c>
      <c r="AD377" s="1" t="s">
        <v>17</v>
      </c>
      <c r="AE377" s="1" t="s">
        <v>18</v>
      </c>
      <c r="AF377" s="1" t="s">
        <v>19</v>
      </c>
      <c r="AG377" s="1" t="s">
        <v>19</v>
      </c>
      <c r="AH377" s="1" t="s">
        <v>2061</v>
      </c>
    </row>
    <row r="378" spans="2:34" ht="15">
      <c r="B378" s="4" t="s">
        <v>1518</v>
      </c>
      <c r="C378" s="5">
        <v>43654</v>
      </c>
      <c r="D378" s="4" t="s">
        <v>21</v>
      </c>
      <c r="E378" s="4" t="s">
        <v>2063</v>
      </c>
      <c r="F378" s="4" t="s">
        <v>3</v>
      </c>
      <c r="G378" s="4" t="s">
        <v>4</v>
      </c>
      <c r="H378" s="4" t="s">
        <v>126</v>
      </c>
      <c r="I378" s="5">
        <v>43651</v>
      </c>
      <c r="J378" s="6">
        <v>0.6933333333333334</v>
      </c>
      <c r="K378" s="5">
        <v>43655</v>
      </c>
      <c r="L378" s="4" t="s">
        <v>6</v>
      </c>
      <c r="M378" s="4"/>
      <c r="N378" s="4" t="s">
        <v>1175</v>
      </c>
      <c r="O378" s="4" t="s">
        <v>1176</v>
      </c>
      <c r="P378" s="4" t="s">
        <v>1177</v>
      </c>
      <c r="Q378" s="4" t="s">
        <v>4</v>
      </c>
      <c r="R378" s="4" t="s">
        <v>4</v>
      </c>
      <c r="S378" s="4" t="s">
        <v>10</v>
      </c>
      <c r="T378" s="4"/>
      <c r="U378" s="4"/>
      <c r="V378" s="4"/>
      <c r="W378" s="4" t="s">
        <v>11</v>
      </c>
      <c r="X378" s="4" t="s">
        <v>2064</v>
      </c>
      <c r="Y378" s="4" t="s">
        <v>2064</v>
      </c>
      <c r="Z378" s="4" t="s">
        <v>2065</v>
      </c>
      <c r="AA378" s="4" t="s">
        <v>2066</v>
      </c>
      <c r="AB378" s="4" t="s">
        <v>2067</v>
      </c>
      <c r="AC378" s="4" t="s">
        <v>2068</v>
      </c>
      <c r="AD378" s="4" t="s">
        <v>17</v>
      </c>
      <c r="AE378" s="4" t="s">
        <v>18</v>
      </c>
      <c r="AF378" s="4" t="s">
        <v>19</v>
      </c>
      <c r="AG378" s="4" t="s">
        <v>19</v>
      </c>
      <c r="AH378" s="4" t="s">
        <v>2067</v>
      </c>
    </row>
    <row r="379" spans="2:34" ht="15">
      <c r="B379" s="1" t="s">
        <v>1518</v>
      </c>
      <c r="C379" s="2">
        <v>43654</v>
      </c>
      <c r="D379" s="1" t="s">
        <v>21</v>
      </c>
      <c r="E379" s="1" t="s">
        <v>2069</v>
      </c>
      <c r="F379" s="1" t="s">
        <v>3</v>
      </c>
      <c r="G379" s="1" t="s">
        <v>4</v>
      </c>
      <c r="H379" s="1" t="s">
        <v>119</v>
      </c>
      <c r="I379" s="2">
        <v>43651</v>
      </c>
      <c r="J379" s="3">
        <v>0.6819444444444445</v>
      </c>
      <c r="K379" s="2">
        <v>43655</v>
      </c>
      <c r="L379" s="1" t="s">
        <v>6</v>
      </c>
      <c r="M379" s="1"/>
      <c r="N379" s="1" t="s">
        <v>110</v>
      </c>
      <c r="O379" s="1" t="s">
        <v>111</v>
      </c>
      <c r="P379" s="1" t="s">
        <v>112</v>
      </c>
      <c r="Q379" s="1" t="s">
        <v>4</v>
      </c>
      <c r="R379" s="1" t="s">
        <v>4</v>
      </c>
      <c r="S379" s="1" t="s">
        <v>10</v>
      </c>
      <c r="T379" s="1"/>
      <c r="U379" s="1"/>
      <c r="V379" s="1"/>
      <c r="W379" s="1" t="s">
        <v>11</v>
      </c>
      <c r="X379" s="1" t="s">
        <v>1647</v>
      </c>
      <c r="Y379" s="1" t="s">
        <v>1647</v>
      </c>
      <c r="Z379" s="1" t="s">
        <v>413</v>
      </c>
      <c r="AA379" s="1" t="s">
        <v>2070</v>
      </c>
      <c r="AB379" s="1" t="s">
        <v>2071</v>
      </c>
      <c r="AC379" s="1" t="s">
        <v>2072</v>
      </c>
      <c r="AD379" s="1" t="s">
        <v>17</v>
      </c>
      <c r="AE379" s="1" t="s">
        <v>18</v>
      </c>
      <c r="AF379" s="1" t="s">
        <v>19</v>
      </c>
      <c r="AG379" s="1" t="s">
        <v>19</v>
      </c>
      <c r="AH379" s="1" t="s">
        <v>2071</v>
      </c>
    </row>
    <row r="380" spans="2:34" ht="15">
      <c r="B380" s="4" t="s">
        <v>153</v>
      </c>
      <c r="C380" s="5">
        <v>43654</v>
      </c>
      <c r="D380" s="4" t="s">
        <v>154</v>
      </c>
      <c r="E380" s="4" t="s">
        <v>2073</v>
      </c>
      <c r="F380" s="4" t="s">
        <v>3</v>
      </c>
      <c r="G380" s="4" t="s">
        <v>4</v>
      </c>
      <c r="H380" s="4" t="s">
        <v>109</v>
      </c>
      <c r="I380" s="5">
        <v>43651</v>
      </c>
      <c r="J380" s="6">
        <v>0.6354166666666666</v>
      </c>
      <c r="K380" s="5">
        <v>43655</v>
      </c>
      <c r="L380" s="4" t="s">
        <v>6</v>
      </c>
      <c r="M380" s="4"/>
      <c r="N380" s="4" t="s">
        <v>39</v>
      </c>
      <c r="O380" s="4" t="s">
        <v>40</v>
      </c>
      <c r="P380" s="4" t="s">
        <v>41</v>
      </c>
      <c r="Q380" s="4" t="s">
        <v>4</v>
      </c>
      <c r="R380" s="4" t="s">
        <v>4</v>
      </c>
      <c r="S380" s="4" t="s">
        <v>10</v>
      </c>
      <c r="T380" s="4"/>
      <c r="U380" s="4"/>
      <c r="V380" s="4"/>
      <c r="W380" s="4" t="s">
        <v>27</v>
      </c>
      <c r="X380" s="4" t="s">
        <v>666</v>
      </c>
      <c r="Y380" s="4" t="s">
        <v>666</v>
      </c>
      <c r="Z380" s="4" t="s">
        <v>2074</v>
      </c>
      <c r="AA380" s="4" t="s">
        <v>2075</v>
      </c>
      <c r="AB380" s="4" t="s">
        <v>2076</v>
      </c>
      <c r="AC380" s="4" t="s">
        <v>2077</v>
      </c>
      <c r="AD380" s="4" t="s">
        <v>17</v>
      </c>
      <c r="AE380" s="4" t="s">
        <v>17</v>
      </c>
      <c r="AF380" s="4" t="s">
        <v>19</v>
      </c>
      <c r="AG380" s="4" t="s">
        <v>19</v>
      </c>
      <c r="AH380" s="4" t="s">
        <v>2076</v>
      </c>
    </row>
    <row r="381" spans="2:34" ht="15">
      <c r="B381" s="1" t="s">
        <v>1518</v>
      </c>
      <c r="C381" s="2">
        <v>43655</v>
      </c>
      <c r="D381" s="1" t="s">
        <v>21</v>
      </c>
      <c r="E381" s="1" t="s">
        <v>2078</v>
      </c>
      <c r="F381" s="1" t="s">
        <v>3</v>
      </c>
      <c r="G381" s="1" t="s">
        <v>4</v>
      </c>
      <c r="H381" s="1" t="s">
        <v>119</v>
      </c>
      <c r="I381" s="2">
        <v>43654</v>
      </c>
      <c r="J381" s="3">
        <v>0.6850462962962963</v>
      </c>
      <c r="K381" s="2">
        <v>43656</v>
      </c>
      <c r="L381" s="1" t="s">
        <v>6</v>
      </c>
      <c r="M381" s="1"/>
      <c r="N381" s="1" t="s">
        <v>110</v>
      </c>
      <c r="O381" s="1" t="s">
        <v>111</v>
      </c>
      <c r="P381" s="1" t="s">
        <v>112</v>
      </c>
      <c r="Q381" s="1" t="s">
        <v>4</v>
      </c>
      <c r="R381" s="1" t="s">
        <v>4</v>
      </c>
      <c r="S381" s="1" t="s">
        <v>10</v>
      </c>
      <c r="T381" s="1"/>
      <c r="U381" s="1"/>
      <c r="V381" s="1"/>
      <c r="W381" s="1" t="s">
        <v>11</v>
      </c>
      <c r="X381" s="1" t="s">
        <v>281</v>
      </c>
      <c r="Y381" s="1" t="s">
        <v>281</v>
      </c>
      <c r="Z381" s="1" t="s">
        <v>413</v>
      </c>
      <c r="AA381" s="1" t="s">
        <v>2079</v>
      </c>
      <c r="AB381" s="1" t="s">
        <v>2080</v>
      </c>
      <c r="AC381" s="1" t="s">
        <v>2081</v>
      </c>
      <c r="AD381" s="1" t="s">
        <v>17</v>
      </c>
      <c r="AE381" s="1" t="s">
        <v>18</v>
      </c>
      <c r="AF381" s="1" t="s">
        <v>19</v>
      </c>
      <c r="AG381" s="1" t="s">
        <v>19</v>
      </c>
      <c r="AH381" s="1" t="s">
        <v>2080</v>
      </c>
    </row>
    <row r="382" spans="2:34" ht="15">
      <c r="B382" s="4" t="s">
        <v>1518</v>
      </c>
      <c r="C382" s="5">
        <v>43655</v>
      </c>
      <c r="D382" s="4" t="s">
        <v>21</v>
      </c>
      <c r="E382" s="4" t="s">
        <v>2082</v>
      </c>
      <c r="F382" s="4" t="s">
        <v>3</v>
      </c>
      <c r="G382" s="4" t="s">
        <v>4</v>
      </c>
      <c r="H382" s="4" t="s">
        <v>126</v>
      </c>
      <c r="I382" s="5">
        <v>43654</v>
      </c>
      <c r="J382" s="6">
        <v>0.6973263888888889</v>
      </c>
      <c r="K382" s="5">
        <v>43656</v>
      </c>
      <c r="L382" s="4" t="s">
        <v>6</v>
      </c>
      <c r="M382" s="4"/>
      <c r="N382" s="4" t="s">
        <v>1175</v>
      </c>
      <c r="O382" s="4" t="s">
        <v>1176</v>
      </c>
      <c r="P382" s="4" t="s">
        <v>1177</v>
      </c>
      <c r="Q382" s="4" t="s">
        <v>4</v>
      </c>
      <c r="R382" s="4" t="s">
        <v>4</v>
      </c>
      <c r="S382" s="4" t="s">
        <v>10</v>
      </c>
      <c r="T382" s="4"/>
      <c r="U382" s="4"/>
      <c r="V382" s="4"/>
      <c r="W382" s="4" t="s">
        <v>11</v>
      </c>
      <c r="X382" s="4" t="s">
        <v>113</v>
      </c>
      <c r="Y382" s="4" t="s">
        <v>113</v>
      </c>
      <c r="Z382" s="4" t="s">
        <v>2083</v>
      </c>
      <c r="AA382" s="4" t="s">
        <v>2084</v>
      </c>
      <c r="AB382" s="4" t="s">
        <v>2085</v>
      </c>
      <c r="AC382" s="4" t="s">
        <v>2086</v>
      </c>
      <c r="AD382" s="4" t="s">
        <v>17</v>
      </c>
      <c r="AE382" s="4" t="s">
        <v>18</v>
      </c>
      <c r="AF382" s="4" t="s">
        <v>19</v>
      </c>
      <c r="AG382" s="4" t="s">
        <v>19</v>
      </c>
      <c r="AH382" s="4" t="s">
        <v>2085</v>
      </c>
    </row>
    <row r="383" spans="2:34" ht="15">
      <c r="B383" s="1" t="s">
        <v>1518</v>
      </c>
      <c r="C383" s="2">
        <v>43656</v>
      </c>
      <c r="D383" s="1" t="s">
        <v>21</v>
      </c>
      <c r="E383" s="1" t="s">
        <v>2082</v>
      </c>
      <c r="F383" s="1" t="s">
        <v>3</v>
      </c>
      <c r="G383" s="1" t="s">
        <v>4</v>
      </c>
      <c r="H383" s="1" t="s">
        <v>1277</v>
      </c>
      <c r="I383" s="2">
        <v>43655</v>
      </c>
      <c r="J383" s="3">
        <v>0.3423611111111111</v>
      </c>
      <c r="K383" s="2">
        <v>43657</v>
      </c>
      <c r="L383" s="1" t="s">
        <v>6</v>
      </c>
      <c r="M383" s="1"/>
      <c r="N383" s="1" t="s">
        <v>1407</v>
      </c>
      <c r="O383" s="1" t="s">
        <v>1408</v>
      </c>
      <c r="P383" s="1" t="s">
        <v>1409</v>
      </c>
      <c r="Q383" s="1" t="s">
        <v>4</v>
      </c>
      <c r="R383" s="1" t="s">
        <v>4</v>
      </c>
      <c r="S383" s="1" t="s">
        <v>10</v>
      </c>
      <c r="T383" s="1"/>
      <c r="U383" s="1"/>
      <c r="V383" s="1"/>
      <c r="W383" s="1" t="s">
        <v>27</v>
      </c>
      <c r="X383" s="1" t="s">
        <v>477</v>
      </c>
      <c r="Y383" s="1" t="s">
        <v>477</v>
      </c>
      <c r="Z383" s="1" t="s">
        <v>981</v>
      </c>
      <c r="AA383" s="1" t="s">
        <v>2087</v>
      </c>
      <c r="AB383" s="1" t="s">
        <v>2088</v>
      </c>
      <c r="AC383" s="1" t="s">
        <v>2089</v>
      </c>
      <c r="AD383" s="1" t="s">
        <v>17</v>
      </c>
      <c r="AE383" s="1" t="s">
        <v>18</v>
      </c>
      <c r="AF383" s="1" t="s">
        <v>19</v>
      </c>
      <c r="AG383" s="1" t="s">
        <v>19</v>
      </c>
      <c r="AH383" s="1" t="s">
        <v>2088</v>
      </c>
    </row>
    <row r="384" spans="2:34" ht="15">
      <c r="B384" s="4" t="s">
        <v>1518</v>
      </c>
      <c r="C384" s="5">
        <v>43656</v>
      </c>
      <c r="D384" s="4" t="s">
        <v>21</v>
      </c>
      <c r="E384" s="4" t="s">
        <v>2090</v>
      </c>
      <c r="F384" s="4" t="s">
        <v>3</v>
      </c>
      <c r="G384" s="4" t="s">
        <v>4</v>
      </c>
      <c r="H384" s="4" t="s">
        <v>632</v>
      </c>
      <c r="I384" s="5">
        <v>43655</v>
      </c>
      <c r="J384" s="6">
        <v>0.4588541666666667</v>
      </c>
      <c r="K384" s="5">
        <v>43657</v>
      </c>
      <c r="L384" s="4" t="s">
        <v>6</v>
      </c>
      <c r="M384" s="4"/>
      <c r="N384" s="4" t="s">
        <v>2091</v>
      </c>
      <c r="O384" s="4" t="s">
        <v>2092</v>
      </c>
      <c r="P384" s="4" t="s">
        <v>2093</v>
      </c>
      <c r="Q384" s="4" t="s">
        <v>4</v>
      </c>
      <c r="R384" s="4" t="s">
        <v>4</v>
      </c>
      <c r="S384" s="4" t="s">
        <v>10</v>
      </c>
      <c r="T384" s="4"/>
      <c r="U384" s="4"/>
      <c r="V384" s="4"/>
      <c r="W384" s="4" t="s">
        <v>27</v>
      </c>
      <c r="X384" s="4" t="s">
        <v>2094</v>
      </c>
      <c r="Y384" s="4" t="s">
        <v>2094</v>
      </c>
      <c r="Z384" s="4" t="s">
        <v>178</v>
      </c>
      <c r="AA384" s="4" t="s">
        <v>2095</v>
      </c>
      <c r="AB384" s="4" t="s">
        <v>2096</v>
      </c>
      <c r="AC384" s="4" t="s">
        <v>2097</v>
      </c>
      <c r="AD384" s="4" t="s">
        <v>17</v>
      </c>
      <c r="AE384" s="4" t="s">
        <v>18</v>
      </c>
      <c r="AF384" s="4" t="s">
        <v>19</v>
      </c>
      <c r="AG384" s="4" t="s">
        <v>19</v>
      </c>
      <c r="AH384" s="4" t="s">
        <v>2096</v>
      </c>
    </row>
    <row r="385" spans="2:34" ht="15">
      <c r="B385" s="1" t="s">
        <v>1518</v>
      </c>
      <c r="C385" s="2">
        <v>43656</v>
      </c>
      <c r="D385" s="1" t="s">
        <v>21</v>
      </c>
      <c r="E385" s="1" t="s">
        <v>2098</v>
      </c>
      <c r="F385" s="1" t="s">
        <v>3</v>
      </c>
      <c r="G385" s="1" t="s">
        <v>4</v>
      </c>
      <c r="H385" s="1" t="s">
        <v>632</v>
      </c>
      <c r="I385" s="2">
        <v>43655</v>
      </c>
      <c r="J385" s="3">
        <v>0.6866087962962963</v>
      </c>
      <c r="K385" s="2">
        <v>43657</v>
      </c>
      <c r="L385" s="1" t="s">
        <v>6</v>
      </c>
      <c r="M385" s="1"/>
      <c r="N385" s="1" t="s">
        <v>2099</v>
      </c>
      <c r="O385" s="1" t="s">
        <v>111</v>
      </c>
      <c r="P385" s="1" t="s">
        <v>112</v>
      </c>
      <c r="Q385" s="1" t="s">
        <v>4</v>
      </c>
      <c r="R385" s="1" t="s">
        <v>4</v>
      </c>
      <c r="S385" s="1" t="s">
        <v>10</v>
      </c>
      <c r="T385" s="1"/>
      <c r="U385" s="1"/>
      <c r="V385" s="1"/>
      <c r="W385" s="1" t="s">
        <v>11</v>
      </c>
      <c r="X385" s="1" t="s">
        <v>901</v>
      </c>
      <c r="Y385" s="1" t="s">
        <v>901</v>
      </c>
      <c r="Z385" s="1" t="s">
        <v>2100</v>
      </c>
      <c r="AA385" s="1" t="s">
        <v>2101</v>
      </c>
      <c r="AB385" s="1" t="s">
        <v>2102</v>
      </c>
      <c r="AC385" s="1" t="s">
        <v>2103</v>
      </c>
      <c r="AD385" s="1" t="s">
        <v>17</v>
      </c>
      <c r="AE385" s="1" t="s">
        <v>18</v>
      </c>
      <c r="AF385" s="1" t="s">
        <v>19</v>
      </c>
      <c r="AG385" s="1" t="s">
        <v>19</v>
      </c>
      <c r="AH385" s="1" t="s">
        <v>2102</v>
      </c>
    </row>
    <row r="386" spans="2:34" ht="15">
      <c r="B386" s="4" t="s">
        <v>1524</v>
      </c>
      <c r="C386" s="5">
        <v>43656</v>
      </c>
      <c r="D386" s="4" t="s">
        <v>1</v>
      </c>
      <c r="E386" s="4" t="s">
        <v>893</v>
      </c>
      <c r="F386" s="4" t="s">
        <v>3</v>
      </c>
      <c r="G386" s="4" t="s">
        <v>4</v>
      </c>
      <c r="H386" s="4" t="s">
        <v>1277</v>
      </c>
      <c r="I386" s="5">
        <v>43655</v>
      </c>
      <c r="J386" s="6">
        <v>0.3423611111111111</v>
      </c>
      <c r="K386" s="5">
        <v>43657</v>
      </c>
      <c r="L386" s="4" t="s">
        <v>6</v>
      </c>
      <c r="M386" s="4"/>
      <c r="N386" s="4" t="s">
        <v>1407</v>
      </c>
      <c r="O386" s="4" t="s">
        <v>1408</v>
      </c>
      <c r="P386" s="4" t="s">
        <v>1409</v>
      </c>
      <c r="Q386" s="4" t="s">
        <v>4</v>
      </c>
      <c r="R386" s="4" t="s">
        <v>4</v>
      </c>
      <c r="S386" s="4" t="s">
        <v>10</v>
      </c>
      <c r="T386" s="4"/>
      <c r="U386" s="4"/>
      <c r="V386" s="4"/>
      <c r="W386" s="4" t="s">
        <v>27</v>
      </c>
      <c r="X386" s="4" t="s">
        <v>2104</v>
      </c>
      <c r="Y386" s="4" t="s">
        <v>2104</v>
      </c>
      <c r="Z386" s="4" t="s">
        <v>981</v>
      </c>
      <c r="AA386" s="4" t="s">
        <v>2105</v>
      </c>
      <c r="AB386" s="4" t="s">
        <v>2106</v>
      </c>
      <c r="AC386" s="4" t="s">
        <v>2107</v>
      </c>
      <c r="AD386" s="4" t="s">
        <v>17</v>
      </c>
      <c r="AE386" s="4" t="s">
        <v>17</v>
      </c>
      <c r="AF386" s="4" t="s">
        <v>19</v>
      </c>
      <c r="AG386" s="4" t="s">
        <v>19</v>
      </c>
      <c r="AH386" s="4" t="s">
        <v>2106</v>
      </c>
    </row>
    <row r="387" spans="2:34" ht="15">
      <c r="B387" s="1" t="s">
        <v>1518</v>
      </c>
      <c r="C387" s="2">
        <v>43657</v>
      </c>
      <c r="D387" s="1" t="s">
        <v>21</v>
      </c>
      <c r="E387" s="1" t="s">
        <v>2108</v>
      </c>
      <c r="F387" s="1" t="s">
        <v>3</v>
      </c>
      <c r="G387" s="1" t="s">
        <v>4</v>
      </c>
      <c r="H387" s="1" t="s">
        <v>632</v>
      </c>
      <c r="I387" s="2">
        <v>43656</v>
      </c>
      <c r="J387" s="3">
        <v>0.6688310185185186</v>
      </c>
      <c r="K387" s="2">
        <v>43658</v>
      </c>
      <c r="L387" s="1" t="s">
        <v>6</v>
      </c>
      <c r="M387" s="1"/>
      <c r="N387" s="1" t="s">
        <v>2099</v>
      </c>
      <c r="O387" s="1" t="s">
        <v>111</v>
      </c>
      <c r="P387" s="1" t="s">
        <v>112</v>
      </c>
      <c r="Q387" s="1" t="s">
        <v>4</v>
      </c>
      <c r="R387" s="1" t="s">
        <v>4</v>
      </c>
      <c r="S387" s="1" t="s">
        <v>10</v>
      </c>
      <c r="T387" s="1"/>
      <c r="U387" s="1"/>
      <c r="V387" s="1"/>
      <c r="W387" s="1" t="s">
        <v>11</v>
      </c>
      <c r="X387" s="1" t="s">
        <v>319</v>
      </c>
      <c r="Y387" s="1" t="s">
        <v>319</v>
      </c>
      <c r="Z387" s="1" t="s">
        <v>2109</v>
      </c>
      <c r="AA387" s="1" t="s">
        <v>2110</v>
      </c>
      <c r="AB387" s="1" t="s">
        <v>2111</v>
      </c>
      <c r="AC387" s="1" t="s">
        <v>2112</v>
      </c>
      <c r="AD387" s="1" t="s">
        <v>17</v>
      </c>
      <c r="AE387" s="1" t="s">
        <v>18</v>
      </c>
      <c r="AF387" s="1" t="s">
        <v>19</v>
      </c>
      <c r="AG387" s="1" t="s">
        <v>19</v>
      </c>
      <c r="AH387" s="1" t="s">
        <v>2111</v>
      </c>
    </row>
    <row r="388" spans="2:34" ht="15">
      <c r="B388" s="4" t="s">
        <v>1518</v>
      </c>
      <c r="C388" s="5">
        <v>43657</v>
      </c>
      <c r="D388" s="4" t="s">
        <v>21</v>
      </c>
      <c r="E388" s="4" t="s">
        <v>2113</v>
      </c>
      <c r="F388" s="4" t="s">
        <v>3</v>
      </c>
      <c r="G388" s="4" t="s">
        <v>4</v>
      </c>
      <c r="H388" s="4" t="s">
        <v>126</v>
      </c>
      <c r="I388" s="5">
        <v>43656</v>
      </c>
      <c r="J388" s="6">
        <v>0.6971296296296297</v>
      </c>
      <c r="K388" s="5">
        <v>43658</v>
      </c>
      <c r="L388" s="4" t="s">
        <v>6</v>
      </c>
      <c r="M388" s="4"/>
      <c r="N388" s="4" t="s">
        <v>1175</v>
      </c>
      <c r="O388" s="4" t="s">
        <v>1176</v>
      </c>
      <c r="P388" s="4" t="s">
        <v>1177</v>
      </c>
      <c r="Q388" s="4" t="s">
        <v>4</v>
      </c>
      <c r="R388" s="4" t="s">
        <v>4</v>
      </c>
      <c r="S388" s="4" t="s">
        <v>10</v>
      </c>
      <c r="T388" s="4"/>
      <c r="U388" s="4"/>
      <c r="V388" s="4"/>
      <c r="W388" s="4" t="s">
        <v>11</v>
      </c>
      <c r="X388" s="4" t="s">
        <v>197</v>
      </c>
      <c r="Y388" s="4" t="s">
        <v>197</v>
      </c>
      <c r="Z388" s="4" t="s">
        <v>2083</v>
      </c>
      <c r="AA388" s="4" t="s">
        <v>2114</v>
      </c>
      <c r="AB388" s="4" t="s">
        <v>2115</v>
      </c>
      <c r="AC388" s="4" t="s">
        <v>2116</v>
      </c>
      <c r="AD388" s="4" t="s">
        <v>17</v>
      </c>
      <c r="AE388" s="4" t="s">
        <v>18</v>
      </c>
      <c r="AF388" s="4" t="s">
        <v>19</v>
      </c>
      <c r="AG388" s="4" t="s">
        <v>19</v>
      </c>
      <c r="AH388" s="4" t="s">
        <v>2115</v>
      </c>
    </row>
    <row r="389" spans="2:34" ht="15">
      <c r="B389" s="1" t="s">
        <v>1518</v>
      </c>
      <c r="C389" s="2">
        <v>43658</v>
      </c>
      <c r="D389" s="1" t="s">
        <v>21</v>
      </c>
      <c r="E389" s="1" t="s">
        <v>2117</v>
      </c>
      <c r="F389" s="1" t="s">
        <v>3</v>
      </c>
      <c r="G389" s="1" t="s">
        <v>4</v>
      </c>
      <c r="H389" s="1" t="s">
        <v>1277</v>
      </c>
      <c r="I389" s="2">
        <v>43657</v>
      </c>
      <c r="J389" s="3">
        <v>0.48819444444444443</v>
      </c>
      <c r="K389" s="2">
        <v>43661</v>
      </c>
      <c r="L389" s="1" t="s">
        <v>6</v>
      </c>
      <c r="M389" s="1"/>
      <c r="N389" s="1" t="s">
        <v>2118</v>
      </c>
      <c r="O389" s="1" t="s">
        <v>1408</v>
      </c>
      <c r="P389" s="1" t="s">
        <v>1409</v>
      </c>
      <c r="Q389" s="1" t="s">
        <v>4</v>
      </c>
      <c r="R389" s="1" t="s">
        <v>4</v>
      </c>
      <c r="S389" s="1" t="s">
        <v>10</v>
      </c>
      <c r="T389" s="1"/>
      <c r="U389" s="1"/>
      <c r="V389" s="1"/>
      <c r="W389" s="1" t="s">
        <v>27</v>
      </c>
      <c r="X389" s="1" t="s">
        <v>2119</v>
      </c>
      <c r="Y389" s="1" t="s">
        <v>2119</v>
      </c>
      <c r="Z389" s="1" t="s">
        <v>981</v>
      </c>
      <c r="AA389" s="1" t="s">
        <v>2120</v>
      </c>
      <c r="AB389" s="1" t="s">
        <v>2121</v>
      </c>
      <c r="AC389" s="1" t="s">
        <v>2122</v>
      </c>
      <c r="AD389" s="1" t="s">
        <v>17</v>
      </c>
      <c r="AE389" s="1" t="s">
        <v>18</v>
      </c>
      <c r="AF389" s="1" t="s">
        <v>19</v>
      </c>
      <c r="AG389" s="1" t="s">
        <v>19</v>
      </c>
      <c r="AH389" s="1" t="s">
        <v>2121</v>
      </c>
    </row>
    <row r="390" spans="2:34" ht="15">
      <c r="B390" s="4" t="s">
        <v>1518</v>
      </c>
      <c r="C390" s="5">
        <v>43658</v>
      </c>
      <c r="D390" s="4" t="s">
        <v>21</v>
      </c>
      <c r="E390" s="4" t="s">
        <v>2123</v>
      </c>
      <c r="F390" s="4" t="s">
        <v>3</v>
      </c>
      <c r="G390" s="4" t="s">
        <v>4</v>
      </c>
      <c r="H390" s="4" t="s">
        <v>119</v>
      </c>
      <c r="I390" s="5">
        <v>43657</v>
      </c>
      <c r="J390" s="6">
        <v>0.692974537037037</v>
      </c>
      <c r="K390" s="5">
        <v>43661</v>
      </c>
      <c r="L390" s="4" t="s">
        <v>6</v>
      </c>
      <c r="M390" s="4"/>
      <c r="N390" s="4" t="s">
        <v>110</v>
      </c>
      <c r="O390" s="4" t="s">
        <v>1661</v>
      </c>
      <c r="P390" s="4" t="s">
        <v>112</v>
      </c>
      <c r="Q390" s="4" t="s">
        <v>4</v>
      </c>
      <c r="R390" s="4" t="s">
        <v>4</v>
      </c>
      <c r="S390" s="4" t="s">
        <v>10</v>
      </c>
      <c r="T390" s="4"/>
      <c r="U390" s="4"/>
      <c r="V390" s="4"/>
      <c r="W390" s="4" t="s">
        <v>11</v>
      </c>
      <c r="X390" s="4" t="s">
        <v>1178</v>
      </c>
      <c r="Y390" s="4" t="s">
        <v>1178</v>
      </c>
      <c r="Z390" s="4" t="s">
        <v>2109</v>
      </c>
      <c r="AA390" s="4" t="s">
        <v>2124</v>
      </c>
      <c r="AB390" s="4" t="s">
        <v>2125</v>
      </c>
      <c r="AC390" s="4" t="s">
        <v>2126</v>
      </c>
      <c r="AD390" s="4" t="s">
        <v>17</v>
      </c>
      <c r="AE390" s="4" t="s">
        <v>18</v>
      </c>
      <c r="AF390" s="4" t="s">
        <v>19</v>
      </c>
      <c r="AG390" s="4" t="s">
        <v>19</v>
      </c>
      <c r="AH390" s="4" t="s">
        <v>2125</v>
      </c>
    </row>
    <row r="391" spans="2:34" ht="15">
      <c r="B391" s="1" t="s">
        <v>1518</v>
      </c>
      <c r="C391" s="2">
        <v>43658</v>
      </c>
      <c r="D391" s="1" t="s">
        <v>21</v>
      </c>
      <c r="E391" s="1" t="s">
        <v>2127</v>
      </c>
      <c r="F391" s="1" t="s">
        <v>3</v>
      </c>
      <c r="G391" s="1" t="s">
        <v>4</v>
      </c>
      <c r="H391" s="1" t="s">
        <v>126</v>
      </c>
      <c r="I391" s="2">
        <v>43657</v>
      </c>
      <c r="J391" s="3">
        <v>0.6946412037037037</v>
      </c>
      <c r="K391" s="2">
        <v>43661</v>
      </c>
      <c r="L391" s="1" t="s">
        <v>6</v>
      </c>
      <c r="M391" s="1"/>
      <c r="N391" s="1" t="s">
        <v>1175</v>
      </c>
      <c r="O391" s="1" t="s">
        <v>1176</v>
      </c>
      <c r="P391" s="1" t="s">
        <v>1177</v>
      </c>
      <c r="Q391" s="1" t="s">
        <v>4</v>
      </c>
      <c r="R391" s="1" t="s">
        <v>4</v>
      </c>
      <c r="S391" s="1" t="s">
        <v>10</v>
      </c>
      <c r="T391" s="1"/>
      <c r="U391" s="1"/>
      <c r="V391" s="1"/>
      <c r="W391" s="1" t="s">
        <v>11</v>
      </c>
      <c r="X391" s="1" t="s">
        <v>319</v>
      </c>
      <c r="Y391" s="1" t="s">
        <v>319</v>
      </c>
      <c r="Z391" s="1" t="s">
        <v>2083</v>
      </c>
      <c r="AA391" s="1" t="s">
        <v>2128</v>
      </c>
      <c r="AB391" s="1" t="s">
        <v>2129</v>
      </c>
      <c r="AC391" s="1" t="s">
        <v>2130</v>
      </c>
      <c r="AD391" s="1" t="s">
        <v>17</v>
      </c>
      <c r="AE391" s="1" t="s">
        <v>18</v>
      </c>
      <c r="AF391" s="1" t="s">
        <v>19</v>
      </c>
      <c r="AG391" s="1" t="s">
        <v>19</v>
      </c>
      <c r="AH391" s="1" t="s">
        <v>2129</v>
      </c>
    </row>
    <row r="392" spans="2:34" ht="15">
      <c r="B392" s="4" t="s">
        <v>1524</v>
      </c>
      <c r="C392" s="5">
        <v>43658</v>
      </c>
      <c r="D392" s="4" t="s">
        <v>1</v>
      </c>
      <c r="E392" s="4" t="s">
        <v>913</v>
      </c>
      <c r="F392" s="4" t="s">
        <v>3</v>
      </c>
      <c r="G392" s="4" t="s">
        <v>4</v>
      </c>
      <c r="H392" s="4" t="s">
        <v>1277</v>
      </c>
      <c r="I392" s="5">
        <v>43657</v>
      </c>
      <c r="J392" s="6">
        <v>0.48819444444444443</v>
      </c>
      <c r="K392" s="5">
        <v>43661</v>
      </c>
      <c r="L392" s="4" t="s">
        <v>6</v>
      </c>
      <c r="M392" s="4"/>
      <c r="N392" s="4" t="s">
        <v>1407</v>
      </c>
      <c r="O392" s="4" t="s">
        <v>1408</v>
      </c>
      <c r="P392" s="4" t="s">
        <v>1409</v>
      </c>
      <c r="Q392" s="4" t="s">
        <v>4</v>
      </c>
      <c r="R392" s="4" t="s">
        <v>4</v>
      </c>
      <c r="S392" s="4" t="s">
        <v>10</v>
      </c>
      <c r="T392" s="4"/>
      <c r="U392" s="4"/>
      <c r="V392" s="4"/>
      <c r="W392" s="4" t="s">
        <v>27</v>
      </c>
      <c r="X392" s="4" t="s">
        <v>2131</v>
      </c>
      <c r="Y392" s="4" t="s">
        <v>2131</v>
      </c>
      <c r="Z392" s="4" t="s">
        <v>981</v>
      </c>
      <c r="AA392" s="4" t="s">
        <v>2132</v>
      </c>
      <c r="AB392" s="4" t="s">
        <v>2133</v>
      </c>
      <c r="AC392" s="4" t="s">
        <v>2134</v>
      </c>
      <c r="AD392" s="4" t="s">
        <v>17</v>
      </c>
      <c r="AE392" s="4" t="s">
        <v>18</v>
      </c>
      <c r="AF392" s="4" t="s">
        <v>19</v>
      </c>
      <c r="AG392" s="4" t="s">
        <v>19</v>
      </c>
      <c r="AH392" s="4" t="s">
        <v>2133</v>
      </c>
    </row>
    <row r="393" spans="2:34" ht="15">
      <c r="B393" s="1" t="s">
        <v>1518</v>
      </c>
      <c r="C393" s="2">
        <v>43662</v>
      </c>
      <c r="D393" s="1" t="s">
        <v>21</v>
      </c>
      <c r="E393" s="1" t="s">
        <v>1986</v>
      </c>
      <c r="F393" s="1" t="s">
        <v>3</v>
      </c>
      <c r="G393" s="1" t="s">
        <v>85</v>
      </c>
      <c r="H393" s="1" t="s">
        <v>325</v>
      </c>
      <c r="I393" s="2">
        <v>43643</v>
      </c>
      <c r="J393" s="3">
        <v>0.6666666666666666</v>
      </c>
      <c r="K393" s="2">
        <v>43662</v>
      </c>
      <c r="L393" s="1" t="s">
        <v>6</v>
      </c>
      <c r="M393" s="1"/>
      <c r="N393" s="1"/>
      <c r="O393" s="1" t="s">
        <v>597</v>
      </c>
      <c r="P393" s="1" t="s">
        <v>598</v>
      </c>
      <c r="Q393" s="1" t="s">
        <v>4</v>
      </c>
      <c r="R393" s="1" t="s">
        <v>85</v>
      </c>
      <c r="S393" s="1" t="s">
        <v>85</v>
      </c>
      <c r="T393" s="1"/>
      <c r="U393" s="1"/>
      <c r="V393" s="1"/>
      <c r="W393" s="1" t="s">
        <v>27</v>
      </c>
      <c r="X393" s="1" t="s">
        <v>1987</v>
      </c>
      <c r="Y393" s="1" t="s">
        <v>1987</v>
      </c>
      <c r="Z393" s="1" t="s">
        <v>18</v>
      </c>
      <c r="AA393" s="1" t="s">
        <v>1987</v>
      </c>
      <c r="AB393" s="1" t="s">
        <v>1987</v>
      </c>
      <c r="AC393" s="1" t="s">
        <v>17</v>
      </c>
      <c r="AD393" s="1" t="s">
        <v>17</v>
      </c>
      <c r="AE393" s="1" t="s">
        <v>17</v>
      </c>
      <c r="AF393" s="1" t="s">
        <v>19</v>
      </c>
      <c r="AG393" s="1" t="s">
        <v>19</v>
      </c>
      <c r="AH393" s="1" t="s">
        <v>1987</v>
      </c>
    </row>
    <row r="394" spans="2:34" ht="15">
      <c r="B394" s="4" t="s">
        <v>1518</v>
      </c>
      <c r="C394" s="5">
        <v>43662</v>
      </c>
      <c r="D394" s="4" t="s">
        <v>21</v>
      </c>
      <c r="E394" s="4" t="s">
        <v>2135</v>
      </c>
      <c r="F394" s="4" t="s">
        <v>3</v>
      </c>
      <c r="G394" s="4" t="s">
        <v>4</v>
      </c>
      <c r="H394" s="4" t="s">
        <v>325</v>
      </c>
      <c r="I394" s="5">
        <v>43643</v>
      </c>
      <c r="J394" s="6">
        <v>0.6666666666666666</v>
      </c>
      <c r="K394" s="5">
        <v>43662</v>
      </c>
      <c r="L394" s="4" t="s">
        <v>6</v>
      </c>
      <c r="M394" s="4"/>
      <c r="N394" s="4" t="s">
        <v>596</v>
      </c>
      <c r="O394" s="4" t="s">
        <v>597</v>
      </c>
      <c r="P394" s="4" t="s">
        <v>598</v>
      </c>
      <c r="Q394" s="4" t="s">
        <v>4</v>
      </c>
      <c r="R394" s="4" t="s">
        <v>85</v>
      </c>
      <c r="S394" s="4" t="s">
        <v>4</v>
      </c>
      <c r="T394" s="4"/>
      <c r="U394" s="4"/>
      <c r="V394" s="4"/>
      <c r="W394" s="4" t="s">
        <v>27</v>
      </c>
      <c r="X394" s="4" t="s">
        <v>1987</v>
      </c>
      <c r="Y394" s="4" t="s">
        <v>1987</v>
      </c>
      <c r="Z394" s="4" t="s">
        <v>18</v>
      </c>
      <c r="AA394" s="4" t="s">
        <v>1987</v>
      </c>
      <c r="AB394" s="4" t="s">
        <v>1987</v>
      </c>
      <c r="AC394" s="4" t="s">
        <v>17</v>
      </c>
      <c r="AD394" s="4" t="s">
        <v>17</v>
      </c>
      <c r="AE394" s="4" t="s">
        <v>17</v>
      </c>
      <c r="AF394" s="4" t="s">
        <v>19</v>
      </c>
      <c r="AG394" s="4" t="s">
        <v>19</v>
      </c>
      <c r="AH394" s="4" t="s">
        <v>1987</v>
      </c>
    </row>
    <row r="395" spans="2:34" ht="15">
      <c r="B395" s="1" t="s">
        <v>1518</v>
      </c>
      <c r="C395" s="2">
        <v>43662</v>
      </c>
      <c r="D395" s="1" t="s">
        <v>21</v>
      </c>
      <c r="E395" s="1" t="s">
        <v>2136</v>
      </c>
      <c r="F395" s="1" t="s">
        <v>3</v>
      </c>
      <c r="G395" s="1" t="s">
        <v>4</v>
      </c>
      <c r="H395" s="1" t="s">
        <v>632</v>
      </c>
      <c r="I395" s="2">
        <v>43661</v>
      </c>
      <c r="J395" s="3">
        <v>0.6913194444444445</v>
      </c>
      <c r="K395" s="2">
        <v>43663</v>
      </c>
      <c r="L395" s="1" t="s">
        <v>6</v>
      </c>
      <c r="M395" s="1"/>
      <c r="N395" s="1" t="s">
        <v>508</v>
      </c>
      <c r="O395" s="1" t="s">
        <v>509</v>
      </c>
      <c r="P395" s="1" t="s">
        <v>510</v>
      </c>
      <c r="Q395" s="1" t="s">
        <v>4</v>
      </c>
      <c r="R395" s="1" t="s">
        <v>4</v>
      </c>
      <c r="S395" s="1" t="s">
        <v>10</v>
      </c>
      <c r="T395" s="1"/>
      <c r="U395" s="1"/>
      <c r="V395" s="1"/>
      <c r="W395" s="1" t="s">
        <v>11</v>
      </c>
      <c r="X395" s="1" t="s">
        <v>2137</v>
      </c>
      <c r="Y395" s="1" t="s">
        <v>2137</v>
      </c>
      <c r="Z395" s="1" t="s">
        <v>2138</v>
      </c>
      <c r="AA395" s="1" t="s">
        <v>2139</v>
      </c>
      <c r="AB395" s="1" t="s">
        <v>2140</v>
      </c>
      <c r="AC395" s="1" t="s">
        <v>2141</v>
      </c>
      <c r="AD395" s="1" t="s">
        <v>17</v>
      </c>
      <c r="AE395" s="1" t="s">
        <v>18</v>
      </c>
      <c r="AF395" s="1" t="s">
        <v>19</v>
      </c>
      <c r="AG395" s="1" t="s">
        <v>19</v>
      </c>
      <c r="AH395" s="1" t="s">
        <v>2140</v>
      </c>
    </row>
    <row r="396" spans="2:34" ht="15">
      <c r="B396" s="4" t="s">
        <v>1518</v>
      </c>
      <c r="C396" s="5">
        <v>43662</v>
      </c>
      <c r="D396" s="4" t="s">
        <v>21</v>
      </c>
      <c r="E396" s="4" t="s">
        <v>2142</v>
      </c>
      <c r="F396" s="4" t="s">
        <v>3</v>
      </c>
      <c r="G396" s="4" t="s">
        <v>4</v>
      </c>
      <c r="H396" s="4" t="s">
        <v>632</v>
      </c>
      <c r="I396" s="5">
        <v>43661</v>
      </c>
      <c r="J396" s="6">
        <v>0.6827199074074074</v>
      </c>
      <c r="K396" s="5">
        <v>43663</v>
      </c>
      <c r="L396" s="4" t="s">
        <v>6</v>
      </c>
      <c r="M396" s="4"/>
      <c r="N396" s="4" t="s">
        <v>876</v>
      </c>
      <c r="O396" s="4" t="s">
        <v>877</v>
      </c>
      <c r="P396" s="4" t="s">
        <v>878</v>
      </c>
      <c r="Q396" s="4" t="s">
        <v>4</v>
      </c>
      <c r="R396" s="4" t="s">
        <v>4</v>
      </c>
      <c r="S396" s="4" t="s">
        <v>10</v>
      </c>
      <c r="T396" s="4"/>
      <c r="U396" s="4"/>
      <c r="V396" s="4"/>
      <c r="W396" s="4" t="s">
        <v>11</v>
      </c>
      <c r="X396" s="4" t="s">
        <v>2143</v>
      </c>
      <c r="Y396" s="4" t="s">
        <v>2143</v>
      </c>
      <c r="Z396" s="4" t="s">
        <v>2144</v>
      </c>
      <c r="AA396" s="4" t="s">
        <v>2145</v>
      </c>
      <c r="AB396" s="4" t="s">
        <v>2146</v>
      </c>
      <c r="AC396" s="4" t="s">
        <v>2147</v>
      </c>
      <c r="AD396" s="4" t="s">
        <v>17</v>
      </c>
      <c r="AE396" s="4" t="s">
        <v>18</v>
      </c>
      <c r="AF396" s="4" t="s">
        <v>19</v>
      </c>
      <c r="AG396" s="4" t="s">
        <v>19</v>
      </c>
      <c r="AH396" s="4" t="s">
        <v>2146</v>
      </c>
    </row>
    <row r="397" spans="2:34" ht="15">
      <c r="B397" s="1" t="s">
        <v>1518</v>
      </c>
      <c r="C397" s="2">
        <v>43662</v>
      </c>
      <c r="D397" s="1" t="s">
        <v>21</v>
      </c>
      <c r="E397" s="1" t="s">
        <v>2148</v>
      </c>
      <c r="F397" s="1" t="s">
        <v>3</v>
      </c>
      <c r="G397" s="1" t="s">
        <v>4</v>
      </c>
      <c r="H397" s="1" t="s">
        <v>632</v>
      </c>
      <c r="I397" s="2">
        <v>43661</v>
      </c>
      <c r="J397" s="3">
        <v>0.5815509259259259</v>
      </c>
      <c r="K397" s="2">
        <v>43663</v>
      </c>
      <c r="L397" s="1" t="s">
        <v>6</v>
      </c>
      <c r="M397" s="1"/>
      <c r="N397" s="1" t="s">
        <v>2149</v>
      </c>
      <c r="O397" s="1" t="s">
        <v>1176</v>
      </c>
      <c r="P397" s="1" t="s">
        <v>1177</v>
      </c>
      <c r="Q397" s="1" t="s">
        <v>4</v>
      </c>
      <c r="R397" s="1" t="s">
        <v>4</v>
      </c>
      <c r="S397" s="1" t="s">
        <v>10</v>
      </c>
      <c r="T397" s="1"/>
      <c r="U397" s="1"/>
      <c r="V397" s="1"/>
      <c r="W397" s="1" t="s">
        <v>11</v>
      </c>
      <c r="X397" s="1" t="s">
        <v>42</v>
      </c>
      <c r="Y397" s="1" t="s">
        <v>42</v>
      </c>
      <c r="Z397" s="1" t="s">
        <v>2150</v>
      </c>
      <c r="AA397" s="1" t="s">
        <v>2151</v>
      </c>
      <c r="AB397" s="1" t="s">
        <v>2152</v>
      </c>
      <c r="AC397" s="1" t="s">
        <v>2153</v>
      </c>
      <c r="AD397" s="1" t="s">
        <v>17</v>
      </c>
      <c r="AE397" s="1" t="s">
        <v>18</v>
      </c>
      <c r="AF397" s="1" t="s">
        <v>19</v>
      </c>
      <c r="AG397" s="1" t="s">
        <v>19</v>
      </c>
      <c r="AH397" s="1" t="s">
        <v>2152</v>
      </c>
    </row>
    <row r="398" spans="2:34" ht="15">
      <c r="B398" s="4" t="s">
        <v>153</v>
      </c>
      <c r="C398" s="5">
        <v>43662</v>
      </c>
      <c r="D398" s="4" t="s">
        <v>154</v>
      </c>
      <c r="E398" s="4" t="s">
        <v>1988</v>
      </c>
      <c r="F398" s="4" t="s">
        <v>3</v>
      </c>
      <c r="G398" s="4" t="s">
        <v>85</v>
      </c>
      <c r="H398" s="4" t="s">
        <v>325</v>
      </c>
      <c r="I398" s="5">
        <v>43643</v>
      </c>
      <c r="J398" s="6">
        <v>0.6666666666666666</v>
      </c>
      <c r="K398" s="5">
        <v>43662</v>
      </c>
      <c r="L398" s="4" t="s">
        <v>6</v>
      </c>
      <c r="M398" s="4"/>
      <c r="N398" s="4"/>
      <c r="O398" s="4" t="s">
        <v>597</v>
      </c>
      <c r="P398" s="4" t="s">
        <v>598</v>
      </c>
      <c r="Q398" s="4" t="s">
        <v>4</v>
      </c>
      <c r="R398" s="4" t="s">
        <v>85</v>
      </c>
      <c r="S398" s="4" t="s">
        <v>85</v>
      </c>
      <c r="T398" s="4"/>
      <c r="U398" s="4"/>
      <c r="V398" s="4"/>
      <c r="W398" s="4" t="s">
        <v>27</v>
      </c>
      <c r="X398" s="4" t="s">
        <v>1989</v>
      </c>
      <c r="Y398" s="4" t="s">
        <v>1989</v>
      </c>
      <c r="Z398" s="4" t="s">
        <v>18</v>
      </c>
      <c r="AA398" s="4" t="s">
        <v>1989</v>
      </c>
      <c r="AB398" s="4" t="s">
        <v>1989</v>
      </c>
      <c r="AC398" s="4" t="s">
        <v>17</v>
      </c>
      <c r="AD398" s="4" t="s">
        <v>17</v>
      </c>
      <c r="AE398" s="4" t="s">
        <v>17</v>
      </c>
      <c r="AF398" s="4" t="s">
        <v>19</v>
      </c>
      <c r="AG398" s="4" t="s">
        <v>19</v>
      </c>
      <c r="AH398" s="4" t="s">
        <v>1989</v>
      </c>
    </row>
    <row r="399" spans="2:34" ht="15">
      <c r="B399" s="1" t="s">
        <v>153</v>
      </c>
      <c r="C399" s="2">
        <v>43662</v>
      </c>
      <c r="D399" s="1" t="s">
        <v>154</v>
      </c>
      <c r="E399" s="1" t="s">
        <v>2154</v>
      </c>
      <c r="F399" s="1" t="s">
        <v>3</v>
      </c>
      <c r="G399" s="1" t="s">
        <v>4</v>
      </c>
      <c r="H399" s="1" t="s">
        <v>325</v>
      </c>
      <c r="I399" s="2">
        <v>43643</v>
      </c>
      <c r="J399" s="3">
        <v>0.6666666666666666</v>
      </c>
      <c r="K399" s="2">
        <v>43662</v>
      </c>
      <c r="L399" s="1" t="s">
        <v>6</v>
      </c>
      <c r="M399" s="1"/>
      <c r="N399" s="1" t="s">
        <v>596</v>
      </c>
      <c r="O399" s="1" t="s">
        <v>597</v>
      </c>
      <c r="P399" s="1" t="s">
        <v>598</v>
      </c>
      <c r="Q399" s="1" t="s">
        <v>4</v>
      </c>
      <c r="R399" s="1" t="s">
        <v>85</v>
      </c>
      <c r="S399" s="1" t="s">
        <v>4</v>
      </c>
      <c r="T399" s="1"/>
      <c r="U399" s="1"/>
      <c r="V399" s="1"/>
      <c r="W399" s="1" t="s">
        <v>27</v>
      </c>
      <c r="X399" s="1" t="s">
        <v>1989</v>
      </c>
      <c r="Y399" s="1" t="s">
        <v>1989</v>
      </c>
      <c r="Z399" s="1" t="s">
        <v>18</v>
      </c>
      <c r="AA399" s="1" t="s">
        <v>1989</v>
      </c>
      <c r="AB399" s="1" t="s">
        <v>1989</v>
      </c>
      <c r="AC399" s="1" t="s">
        <v>17</v>
      </c>
      <c r="AD399" s="1" t="s">
        <v>17</v>
      </c>
      <c r="AE399" s="1" t="s">
        <v>17</v>
      </c>
      <c r="AF399" s="1" t="s">
        <v>19</v>
      </c>
      <c r="AG399" s="1" t="s">
        <v>19</v>
      </c>
      <c r="AH399" s="1" t="s">
        <v>1989</v>
      </c>
    </row>
    <row r="400" spans="2:34" ht="15">
      <c r="B400" s="4" t="s">
        <v>1518</v>
      </c>
      <c r="C400" s="5">
        <v>43663</v>
      </c>
      <c r="D400" s="4" t="s">
        <v>21</v>
      </c>
      <c r="E400" s="4" t="s">
        <v>2155</v>
      </c>
      <c r="F400" s="4" t="s">
        <v>3</v>
      </c>
      <c r="G400" s="4" t="s">
        <v>4</v>
      </c>
      <c r="H400" s="4" t="s">
        <v>119</v>
      </c>
      <c r="I400" s="5">
        <v>43662</v>
      </c>
      <c r="J400" s="6">
        <v>0.598738425925926</v>
      </c>
      <c r="K400" s="5">
        <v>43664</v>
      </c>
      <c r="L400" s="4" t="s">
        <v>6</v>
      </c>
      <c r="M400" s="4"/>
      <c r="N400" s="4" t="s">
        <v>288</v>
      </c>
      <c r="O400" s="4" t="s">
        <v>289</v>
      </c>
      <c r="P400" s="4" t="s">
        <v>290</v>
      </c>
      <c r="Q400" s="4" t="s">
        <v>4</v>
      </c>
      <c r="R400" s="4" t="s">
        <v>4</v>
      </c>
      <c r="S400" s="4" t="s">
        <v>10</v>
      </c>
      <c r="T400" s="4"/>
      <c r="U400" s="4"/>
      <c r="V400" s="4"/>
      <c r="W400" s="4" t="s">
        <v>11</v>
      </c>
      <c r="X400" s="4" t="s">
        <v>1526</v>
      </c>
      <c r="Y400" s="4" t="s">
        <v>1526</v>
      </c>
      <c r="Z400" s="4" t="s">
        <v>2156</v>
      </c>
      <c r="AA400" s="4" t="s">
        <v>2157</v>
      </c>
      <c r="AB400" s="4" t="s">
        <v>2158</v>
      </c>
      <c r="AC400" s="4" t="s">
        <v>2159</v>
      </c>
      <c r="AD400" s="4" t="s">
        <v>17</v>
      </c>
      <c r="AE400" s="4" t="s">
        <v>18</v>
      </c>
      <c r="AF400" s="4" t="s">
        <v>19</v>
      </c>
      <c r="AG400" s="4" t="s">
        <v>19</v>
      </c>
      <c r="AH400" s="4" t="s">
        <v>2158</v>
      </c>
    </row>
    <row r="401" spans="2:34" ht="15">
      <c r="B401" s="1" t="s">
        <v>1518</v>
      </c>
      <c r="C401" s="2">
        <v>43663</v>
      </c>
      <c r="D401" s="1" t="s">
        <v>21</v>
      </c>
      <c r="E401" s="1" t="s">
        <v>2160</v>
      </c>
      <c r="F401" s="1" t="s">
        <v>3</v>
      </c>
      <c r="G401" s="1" t="s">
        <v>4</v>
      </c>
      <c r="H401" s="1" t="s">
        <v>119</v>
      </c>
      <c r="I401" s="2">
        <v>43662</v>
      </c>
      <c r="J401" s="3">
        <v>0.6036921296296296</v>
      </c>
      <c r="K401" s="2">
        <v>43664</v>
      </c>
      <c r="L401" s="1" t="s">
        <v>6</v>
      </c>
      <c r="M401" s="1"/>
      <c r="N401" s="1" t="s">
        <v>110</v>
      </c>
      <c r="O401" s="1" t="s">
        <v>111</v>
      </c>
      <c r="P401" s="1" t="s">
        <v>112</v>
      </c>
      <c r="Q401" s="1" t="s">
        <v>4</v>
      </c>
      <c r="R401" s="1" t="s">
        <v>4</v>
      </c>
      <c r="S401" s="1" t="s">
        <v>10</v>
      </c>
      <c r="T401" s="1"/>
      <c r="U401" s="1"/>
      <c r="V401" s="1"/>
      <c r="W401" s="1" t="s">
        <v>11</v>
      </c>
      <c r="X401" s="1" t="s">
        <v>1662</v>
      </c>
      <c r="Y401" s="1" t="s">
        <v>1662</v>
      </c>
      <c r="Z401" s="1" t="s">
        <v>781</v>
      </c>
      <c r="AA401" s="1" t="s">
        <v>2161</v>
      </c>
      <c r="AB401" s="1" t="s">
        <v>2162</v>
      </c>
      <c r="AC401" s="1" t="s">
        <v>2163</v>
      </c>
      <c r="AD401" s="1" t="s">
        <v>17</v>
      </c>
      <c r="AE401" s="1" t="s">
        <v>18</v>
      </c>
      <c r="AF401" s="1" t="s">
        <v>19</v>
      </c>
      <c r="AG401" s="1" t="s">
        <v>19</v>
      </c>
      <c r="AH401" s="1" t="s">
        <v>2162</v>
      </c>
    </row>
    <row r="402" spans="2:34" ht="15">
      <c r="B402" s="4" t="s">
        <v>1518</v>
      </c>
      <c r="C402" s="5">
        <v>43663</v>
      </c>
      <c r="D402" s="4" t="s">
        <v>21</v>
      </c>
      <c r="E402" s="4" t="s">
        <v>2164</v>
      </c>
      <c r="F402" s="4" t="s">
        <v>3</v>
      </c>
      <c r="G402" s="4" t="s">
        <v>4</v>
      </c>
      <c r="H402" s="4" t="s">
        <v>325</v>
      </c>
      <c r="I402" s="5">
        <v>43662</v>
      </c>
      <c r="J402" s="6">
        <v>0.6118055555555556</v>
      </c>
      <c r="K402" s="5">
        <v>43664</v>
      </c>
      <c r="L402" s="4" t="s">
        <v>6</v>
      </c>
      <c r="M402" s="4"/>
      <c r="N402" s="4" t="s">
        <v>2165</v>
      </c>
      <c r="O402" s="4" t="s">
        <v>2166</v>
      </c>
      <c r="P402" s="4" t="s">
        <v>2167</v>
      </c>
      <c r="Q402" s="4" t="s">
        <v>4</v>
      </c>
      <c r="R402" s="4" t="s">
        <v>4</v>
      </c>
      <c r="S402" s="4" t="s">
        <v>10</v>
      </c>
      <c r="T402" s="4"/>
      <c r="U402" s="4"/>
      <c r="V402" s="4"/>
      <c r="W402" s="4" t="s">
        <v>11</v>
      </c>
      <c r="X402" s="4" t="s">
        <v>42</v>
      </c>
      <c r="Y402" s="4" t="s">
        <v>42</v>
      </c>
      <c r="Z402" s="4" t="s">
        <v>2168</v>
      </c>
      <c r="AA402" s="4" t="s">
        <v>2169</v>
      </c>
      <c r="AB402" s="4" t="s">
        <v>2170</v>
      </c>
      <c r="AC402" s="4" t="s">
        <v>2171</v>
      </c>
      <c r="AD402" s="4" t="s">
        <v>17</v>
      </c>
      <c r="AE402" s="4" t="s">
        <v>18</v>
      </c>
      <c r="AF402" s="4" t="s">
        <v>19</v>
      </c>
      <c r="AG402" s="4" t="s">
        <v>19</v>
      </c>
      <c r="AH402" s="4" t="s">
        <v>2170</v>
      </c>
    </row>
    <row r="403" spans="2:34" ht="15">
      <c r="B403" s="1" t="s">
        <v>1518</v>
      </c>
      <c r="C403" s="2">
        <v>43663</v>
      </c>
      <c r="D403" s="1" t="s">
        <v>21</v>
      </c>
      <c r="E403" s="1" t="s">
        <v>2172</v>
      </c>
      <c r="F403" s="1" t="s">
        <v>3</v>
      </c>
      <c r="G403" s="1" t="s">
        <v>4</v>
      </c>
      <c r="H403" s="1" t="s">
        <v>325</v>
      </c>
      <c r="I403" s="2">
        <v>43662</v>
      </c>
      <c r="J403" s="3">
        <v>0.6833333333333333</v>
      </c>
      <c r="K403" s="2">
        <v>43664</v>
      </c>
      <c r="L403" s="1" t="s">
        <v>6</v>
      </c>
      <c r="M403" s="1"/>
      <c r="N403" s="1" t="s">
        <v>2165</v>
      </c>
      <c r="O403" s="1" t="s">
        <v>2166</v>
      </c>
      <c r="P403" s="1" t="s">
        <v>2167</v>
      </c>
      <c r="Q403" s="1" t="s">
        <v>4</v>
      </c>
      <c r="R403" s="1" t="s">
        <v>4</v>
      </c>
      <c r="S403" s="1" t="s">
        <v>10</v>
      </c>
      <c r="T403" s="1"/>
      <c r="U403" s="1"/>
      <c r="V403" s="1"/>
      <c r="W403" s="1" t="s">
        <v>11</v>
      </c>
      <c r="X403" s="1" t="s">
        <v>2173</v>
      </c>
      <c r="Y403" s="1" t="s">
        <v>2173</v>
      </c>
      <c r="Z403" s="1" t="s">
        <v>2168</v>
      </c>
      <c r="AA403" s="1" t="s">
        <v>2174</v>
      </c>
      <c r="AB403" s="1" t="s">
        <v>2175</v>
      </c>
      <c r="AC403" s="1" t="s">
        <v>2176</v>
      </c>
      <c r="AD403" s="1" t="s">
        <v>17</v>
      </c>
      <c r="AE403" s="1" t="s">
        <v>18</v>
      </c>
      <c r="AF403" s="1" t="s">
        <v>19</v>
      </c>
      <c r="AG403" s="1" t="s">
        <v>19</v>
      </c>
      <c r="AH403" s="1" t="s">
        <v>2175</v>
      </c>
    </row>
    <row r="404" spans="2:34" ht="15">
      <c r="B404" s="4" t="s">
        <v>1518</v>
      </c>
      <c r="C404" s="5">
        <v>43663</v>
      </c>
      <c r="D404" s="4" t="s">
        <v>21</v>
      </c>
      <c r="E404" s="4" t="s">
        <v>2177</v>
      </c>
      <c r="F404" s="4" t="s">
        <v>3</v>
      </c>
      <c r="G404" s="4" t="s">
        <v>4</v>
      </c>
      <c r="H404" s="4" t="s">
        <v>126</v>
      </c>
      <c r="I404" s="5">
        <v>43662</v>
      </c>
      <c r="J404" s="6">
        <v>0.6909722222222222</v>
      </c>
      <c r="K404" s="5">
        <v>43664</v>
      </c>
      <c r="L404" s="4" t="s">
        <v>6</v>
      </c>
      <c r="M404" s="4"/>
      <c r="N404" s="4" t="s">
        <v>2149</v>
      </c>
      <c r="O404" s="4" t="s">
        <v>1176</v>
      </c>
      <c r="P404" s="4" t="s">
        <v>1177</v>
      </c>
      <c r="Q404" s="4" t="s">
        <v>4</v>
      </c>
      <c r="R404" s="4" t="s">
        <v>4</v>
      </c>
      <c r="S404" s="4" t="s">
        <v>10</v>
      </c>
      <c r="T404" s="4"/>
      <c r="U404" s="4"/>
      <c r="V404" s="4"/>
      <c r="W404" s="4" t="s">
        <v>11</v>
      </c>
      <c r="X404" s="4" t="s">
        <v>319</v>
      </c>
      <c r="Y404" s="4" t="s">
        <v>319</v>
      </c>
      <c r="Z404" s="4" t="s">
        <v>2083</v>
      </c>
      <c r="AA404" s="4" t="s">
        <v>2128</v>
      </c>
      <c r="AB404" s="4" t="s">
        <v>2129</v>
      </c>
      <c r="AC404" s="4" t="s">
        <v>2130</v>
      </c>
      <c r="AD404" s="4" t="s">
        <v>17</v>
      </c>
      <c r="AE404" s="4" t="s">
        <v>18</v>
      </c>
      <c r="AF404" s="4" t="s">
        <v>19</v>
      </c>
      <c r="AG404" s="4" t="s">
        <v>19</v>
      </c>
      <c r="AH404" s="4" t="s">
        <v>2129</v>
      </c>
    </row>
    <row r="405" spans="2:34" ht="15">
      <c r="B405" s="1" t="s">
        <v>1518</v>
      </c>
      <c r="C405" s="2">
        <v>43663</v>
      </c>
      <c r="D405" s="1" t="s">
        <v>21</v>
      </c>
      <c r="E405" s="1" t="s">
        <v>2178</v>
      </c>
      <c r="F405" s="1" t="s">
        <v>3</v>
      </c>
      <c r="G405" s="1" t="s">
        <v>4</v>
      </c>
      <c r="H405" s="1" t="s">
        <v>126</v>
      </c>
      <c r="I405" s="2">
        <v>43662</v>
      </c>
      <c r="J405" s="3">
        <v>0.6954166666666667</v>
      </c>
      <c r="K405" s="2">
        <v>43664</v>
      </c>
      <c r="L405" s="1" t="s">
        <v>6</v>
      </c>
      <c r="M405" s="1"/>
      <c r="N405" s="1" t="s">
        <v>2149</v>
      </c>
      <c r="O405" s="1" t="s">
        <v>1176</v>
      </c>
      <c r="P405" s="1" t="s">
        <v>1177</v>
      </c>
      <c r="Q405" s="1" t="s">
        <v>4</v>
      </c>
      <c r="R405" s="1" t="s">
        <v>4</v>
      </c>
      <c r="S405" s="1" t="s">
        <v>10</v>
      </c>
      <c r="T405" s="1"/>
      <c r="U405" s="1"/>
      <c r="V405" s="1"/>
      <c r="W405" s="1" t="s">
        <v>11</v>
      </c>
      <c r="X405" s="1" t="s">
        <v>197</v>
      </c>
      <c r="Y405" s="1" t="s">
        <v>197</v>
      </c>
      <c r="Z405" s="1" t="s">
        <v>2083</v>
      </c>
      <c r="AA405" s="1" t="s">
        <v>2114</v>
      </c>
      <c r="AB405" s="1" t="s">
        <v>2115</v>
      </c>
      <c r="AC405" s="1" t="s">
        <v>2116</v>
      </c>
      <c r="AD405" s="1" t="s">
        <v>17</v>
      </c>
      <c r="AE405" s="1" t="s">
        <v>18</v>
      </c>
      <c r="AF405" s="1" t="s">
        <v>19</v>
      </c>
      <c r="AG405" s="1" t="s">
        <v>19</v>
      </c>
      <c r="AH405" s="1" t="s">
        <v>2115</v>
      </c>
    </row>
    <row r="406" spans="2:34" ht="15">
      <c r="B406" s="4" t="s">
        <v>1518</v>
      </c>
      <c r="C406" s="5">
        <v>43668</v>
      </c>
      <c r="D406" s="4" t="s">
        <v>21</v>
      </c>
      <c r="E406" s="4" t="s">
        <v>2179</v>
      </c>
      <c r="F406" s="4" t="s">
        <v>3</v>
      </c>
      <c r="G406" s="4" t="s">
        <v>4</v>
      </c>
      <c r="H406" s="4" t="s">
        <v>1174</v>
      </c>
      <c r="I406" s="5">
        <v>43665</v>
      </c>
      <c r="J406" s="6">
        <v>0.5458333333333333</v>
      </c>
      <c r="K406" s="5">
        <v>43669</v>
      </c>
      <c r="L406" s="4" t="s">
        <v>6</v>
      </c>
      <c r="M406" s="4"/>
      <c r="N406" s="4" t="s">
        <v>2149</v>
      </c>
      <c r="O406" s="4" t="s">
        <v>1176</v>
      </c>
      <c r="P406" s="4" t="s">
        <v>1177</v>
      </c>
      <c r="Q406" s="4" t="s">
        <v>4</v>
      </c>
      <c r="R406" s="4" t="s">
        <v>4</v>
      </c>
      <c r="S406" s="4" t="s">
        <v>10</v>
      </c>
      <c r="T406" s="4"/>
      <c r="U406" s="4"/>
      <c r="V406" s="4"/>
      <c r="W406" s="4" t="s">
        <v>11</v>
      </c>
      <c r="X406" s="4" t="s">
        <v>2180</v>
      </c>
      <c r="Y406" s="4" t="s">
        <v>2180</v>
      </c>
      <c r="Z406" s="4" t="s">
        <v>1992</v>
      </c>
      <c r="AA406" s="4" t="s">
        <v>2181</v>
      </c>
      <c r="AB406" s="4" t="s">
        <v>2182</v>
      </c>
      <c r="AC406" s="4" t="s">
        <v>2183</v>
      </c>
      <c r="AD406" s="4" t="s">
        <v>17</v>
      </c>
      <c r="AE406" s="4" t="s">
        <v>18</v>
      </c>
      <c r="AF406" s="4" t="s">
        <v>19</v>
      </c>
      <c r="AG406" s="4" t="s">
        <v>19</v>
      </c>
      <c r="AH406" s="4" t="s">
        <v>2182</v>
      </c>
    </row>
    <row r="407" spans="2:34" ht="15">
      <c r="B407" s="1" t="s">
        <v>1518</v>
      </c>
      <c r="C407" s="2">
        <v>43668</v>
      </c>
      <c r="D407" s="1" t="s">
        <v>21</v>
      </c>
      <c r="E407" s="1" t="s">
        <v>2184</v>
      </c>
      <c r="F407" s="1" t="s">
        <v>3</v>
      </c>
      <c r="G407" s="1" t="s">
        <v>4</v>
      </c>
      <c r="H407" s="1" t="s">
        <v>632</v>
      </c>
      <c r="I407" s="2">
        <v>43665</v>
      </c>
      <c r="J407" s="3">
        <v>0.45902777777777776</v>
      </c>
      <c r="K407" s="2">
        <v>43669</v>
      </c>
      <c r="L407" s="1" t="s">
        <v>6</v>
      </c>
      <c r="M407" s="1"/>
      <c r="N407" s="1" t="s">
        <v>2149</v>
      </c>
      <c r="O407" s="1" t="s">
        <v>1176</v>
      </c>
      <c r="P407" s="1" t="s">
        <v>1177</v>
      </c>
      <c r="Q407" s="1" t="s">
        <v>4</v>
      </c>
      <c r="R407" s="1" t="s">
        <v>4</v>
      </c>
      <c r="S407" s="1" t="s">
        <v>10</v>
      </c>
      <c r="T407" s="1"/>
      <c r="U407" s="1"/>
      <c r="V407" s="1"/>
      <c r="W407" s="1" t="s">
        <v>11</v>
      </c>
      <c r="X407" s="1" t="s">
        <v>959</v>
      </c>
      <c r="Y407" s="1" t="s">
        <v>959</v>
      </c>
      <c r="Z407" s="1" t="s">
        <v>2185</v>
      </c>
      <c r="AA407" s="1" t="s">
        <v>2186</v>
      </c>
      <c r="AB407" s="1" t="s">
        <v>2187</v>
      </c>
      <c r="AC407" s="1" t="s">
        <v>2188</v>
      </c>
      <c r="AD407" s="1" t="s">
        <v>17</v>
      </c>
      <c r="AE407" s="1" t="s">
        <v>18</v>
      </c>
      <c r="AF407" s="1" t="s">
        <v>19</v>
      </c>
      <c r="AG407" s="1" t="s">
        <v>19</v>
      </c>
      <c r="AH407" s="1" t="s">
        <v>2187</v>
      </c>
    </row>
    <row r="408" spans="2:34" ht="15">
      <c r="B408" s="4" t="s">
        <v>153</v>
      </c>
      <c r="C408" s="5">
        <v>43668</v>
      </c>
      <c r="D408" s="4" t="s">
        <v>154</v>
      </c>
      <c r="E408" s="4" t="s">
        <v>2189</v>
      </c>
      <c r="F408" s="4" t="s">
        <v>3</v>
      </c>
      <c r="G408" s="4" t="s">
        <v>4</v>
      </c>
      <c r="H408" s="4" t="s">
        <v>632</v>
      </c>
      <c r="I408" s="5">
        <v>43668</v>
      </c>
      <c r="J408" s="6">
        <v>0.4171990740740741</v>
      </c>
      <c r="K408" s="5">
        <v>43670</v>
      </c>
      <c r="L408" s="4" t="s">
        <v>6</v>
      </c>
      <c r="M408" s="4"/>
      <c r="N408" s="4" t="s">
        <v>876</v>
      </c>
      <c r="O408" s="4" t="s">
        <v>877</v>
      </c>
      <c r="P408" s="4" t="s">
        <v>878</v>
      </c>
      <c r="Q408" s="4" t="s">
        <v>4</v>
      </c>
      <c r="R408" s="4" t="s">
        <v>4</v>
      </c>
      <c r="S408" s="4" t="s">
        <v>10</v>
      </c>
      <c r="T408" s="4"/>
      <c r="U408" s="4"/>
      <c r="V408" s="4"/>
      <c r="W408" s="4" t="s">
        <v>27</v>
      </c>
      <c r="X408" s="4" t="s">
        <v>2190</v>
      </c>
      <c r="Y408" s="4" t="s">
        <v>2190</v>
      </c>
      <c r="Z408" s="4" t="s">
        <v>2191</v>
      </c>
      <c r="AA408" s="4" t="s">
        <v>2192</v>
      </c>
      <c r="AB408" s="4" t="s">
        <v>2193</v>
      </c>
      <c r="AC408" s="4" t="s">
        <v>2194</v>
      </c>
      <c r="AD408" s="4" t="s">
        <v>17</v>
      </c>
      <c r="AE408" s="4" t="s">
        <v>2195</v>
      </c>
      <c r="AF408" s="4" t="s">
        <v>19</v>
      </c>
      <c r="AG408" s="4" t="s">
        <v>19</v>
      </c>
      <c r="AH408" s="4" t="s">
        <v>2193</v>
      </c>
    </row>
    <row r="409" spans="2:34" ht="15">
      <c r="B409" s="1" t="s">
        <v>153</v>
      </c>
      <c r="C409" s="2">
        <v>43668</v>
      </c>
      <c r="D409" s="1" t="s">
        <v>154</v>
      </c>
      <c r="E409" s="1" t="s">
        <v>2196</v>
      </c>
      <c r="F409" s="1" t="s">
        <v>3</v>
      </c>
      <c r="G409" s="1" t="s">
        <v>4</v>
      </c>
      <c r="H409" s="1" t="s">
        <v>632</v>
      </c>
      <c r="I409" s="2">
        <v>43668</v>
      </c>
      <c r="J409" s="3">
        <v>0.4170949074074074</v>
      </c>
      <c r="K409" s="2">
        <v>43670</v>
      </c>
      <c r="L409" s="1" t="s">
        <v>6</v>
      </c>
      <c r="M409" s="1"/>
      <c r="N409" s="1" t="s">
        <v>382</v>
      </c>
      <c r="O409" s="1" t="s">
        <v>383</v>
      </c>
      <c r="P409" s="1" t="s">
        <v>2197</v>
      </c>
      <c r="Q409" s="1" t="s">
        <v>4</v>
      </c>
      <c r="R409" s="1" t="s">
        <v>4</v>
      </c>
      <c r="S409" s="1" t="s">
        <v>10</v>
      </c>
      <c r="T409" s="1"/>
      <c r="U409" s="1"/>
      <c r="V409" s="1"/>
      <c r="W409" s="1" t="s">
        <v>27</v>
      </c>
      <c r="X409" s="1" t="s">
        <v>2198</v>
      </c>
      <c r="Y409" s="1" t="s">
        <v>2198</v>
      </c>
      <c r="Z409" s="1" t="s">
        <v>2199</v>
      </c>
      <c r="AA409" s="1" t="s">
        <v>2200</v>
      </c>
      <c r="AB409" s="1" t="s">
        <v>2201</v>
      </c>
      <c r="AC409" s="1" t="s">
        <v>2202</v>
      </c>
      <c r="AD409" s="1" t="s">
        <v>17</v>
      </c>
      <c r="AE409" s="1" t="s">
        <v>2203</v>
      </c>
      <c r="AF409" s="1" t="s">
        <v>19</v>
      </c>
      <c r="AG409" s="1" t="s">
        <v>19</v>
      </c>
      <c r="AH409" s="1" t="s">
        <v>2201</v>
      </c>
    </row>
    <row r="410" spans="2:34" ht="15">
      <c r="B410" s="4" t="s">
        <v>153</v>
      </c>
      <c r="C410" s="5">
        <v>43668</v>
      </c>
      <c r="D410" s="4" t="s">
        <v>154</v>
      </c>
      <c r="E410" s="4" t="s">
        <v>2204</v>
      </c>
      <c r="F410" s="4" t="s">
        <v>3</v>
      </c>
      <c r="G410" s="4" t="s">
        <v>4</v>
      </c>
      <c r="H410" s="4" t="s">
        <v>632</v>
      </c>
      <c r="I410" s="5">
        <v>43668</v>
      </c>
      <c r="J410" s="6">
        <v>0.41756944444444444</v>
      </c>
      <c r="K410" s="5">
        <v>43670</v>
      </c>
      <c r="L410" s="4" t="s">
        <v>6</v>
      </c>
      <c r="M410" s="4"/>
      <c r="N410" s="4" t="s">
        <v>165</v>
      </c>
      <c r="O410" s="4" t="s">
        <v>166</v>
      </c>
      <c r="P410" s="4" t="s">
        <v>167</v>
      </c>
      <c r="Q410" s="4" t="s">
        <v>4</v>
      </c>
      <c r="R410" s="4" t="s">
        <v>4</v>
      </c>
      <c r="S410" s="4" t="s">
        <v>10</v>
      </c>
      <c r="T410" s="4"/>
      <c r="U410" s="4"/>
      <c r="V410" s="4"/>
      <c r="W410" s="4" t="s">
        <v>27</v>
      </c>
      <c r="X410" s="4" t="s">
        <v>130</v>
      </c>
      <c r="Y410" s="4" t="s">
        <v>130</v>
      </c>
      <c r="Z410" s="4" t="s">
        <v>2205</v>
      </c>
      <c r="AA410" s="4" t="s">
        <v>2206</v>
      </c>
      <c r="AB410" s="4" t="s">
        <v>2207</v>
      </c>
      <c r="AC410" s="4" t="s">
        <v>2208</v>
      </c>
      <c r="AD410" s="4" t="s">
        <v>17</v>
      </c>
      <c r="AE410" s="4" t="s">
        <v>18</v>
      </c>
      <c r="AF410" s="4" t="s">
        <v>19</v>
      </c>
      <c r="AG410" s="4" t="s">
        <v>19</v>
      </c>
      <c r="AH410" s="4" t="s">
        <v>2207</v>
      </c>
    </row>
    <row r="411" spans="2:34" ht="15">
      <c r="B411" s="1" t="s">
        <v>1518</v>
      </c>
      <c r="C411" s="2">
        <v>43669</v>
      </c>
      <c r="D411" s="1" t="s">
        <v>21</v>
      </c>
      <c r="E411" s="1" t="s">
        <v>2209</v>
      </c>
      <c r="F411" s="1" t="s">
        <v>3</v>
      </c>
      <c r="G411" s="1" t="s">
        <v>4</v>
      </c>
      <c r="H411" s="1" t="s">
        <v>632</v>
      </c>
      <c r="I411" s="2">
        <v>43668</v>
      </c>
      <c r="J411" s="3">
        <v>0.6936689814814815</v>
      </c>
      <c r="K411" s="2">
        <v>43670</v>
      </c>
      <c r="L411" s="1" t="s">
        <v>6</v>
      </c>
      <c r="M411" s="1"/>
      <c r="N411" s="1" t="s">
        <v>316</v>
      </c>
      <c r="O411" s="1" t="s">
        <v>317</v>
      </c>
      <c r="P411" s="1" t="s">
        <v>318</v>
      </c>
      <c r="Q411" s="1" t="s">
        <v>4</v>
      </c>
      <c r="R411" s="1" t="s">
        <v>4</v>
      </c>
      <c r="S411" s="1" t="s">
        <v>10</v>
      </c>
      <c r="T411" s="1"/>
      <c r="U411" s="1"/>
      <c r="V411" s="1"/>
      <c r="W411" s="1" t="s">
        <v>27</v>
      </c>
      <c r="X411" s="1" t="s">
        <v>2210</v>
      </c>
      <c r="Y411" s="1" t="s">
        <v>2210</v>
      </c>
      <c r="Z411" s="1" t="s">
        <v>2211</v>
      </c>
      <c r="AA411" s="1" t="s">
        <v>2212</v>
      </c>
      <c r="AB411" s="1" t="s">
        <v>2213</v>
      </c>
      <c r="AC411" s="1" t="s">
        <v>2214</v>
      </c>
      <c r="AD411" s="1" t="s">
        <v>17</v>
      </c>
      <c r="AE411" s="1" t="s">
        <v>2215</v>
      </c>
      <c r="AF411" s="1" t="s">
        <v>19</v>
      </c>
      <c r="AG411" s="1" t="s">
        <v>19</v>
      </c>
      <c r="AH411" s="1" t="s">
        <v>2213</v>
      </c>
    </row>
    <row r="412" spans="2:34" ht="15">
      <c r="B412" s="4" t="s">
        <v>1524</v>
      </c>
      <c r="C412" s="5">
        <v>43669</v>
      </c>
      <c r="D412" s="4" t="s">
        <v>1</v>
      </c>
      <c r="E412" s="4" t="s">
        <v>949</v>
      </c>
      <c r="F412" s="4" t="s">
        <v>3</v>
      </c>
      <c r="G412" s="4" t="s">
        <v>4</v>
      </c>
      <c r="H412" s="4" t="s">
        <v>632</v>
      </c>
      <c r="I412" s="5">
        <v>43668</v>
      </c>
      <c r="J412" s="6">
        <v>0.6936689814814815</v>
      </c>
      <c r="K412" s="5">
        <v>43670</v>
      </c>
      <c r="L412" s="4" t="s">
        <v>6</v>
      </c>
      <c r="M412" s="4"/>
      <c r="N412" s="4" t="s">
        <v>316</v>
      </c>
      <c r="O412" s="4" t="s">
        <v>317</v>
      </c>
      <c r="P412" s="4" t="s">
        <v>318</v>
      </c>
      <c r="Q412" s="4" t="s">
        <v>4</v>
      </c>
      <c r="R412" s="4" t="s">
        <v>4</v>
      </c>
      <c r="S412" s="4" t="s">
        <v>10</v>
      </c>
      <c r="T412" s="4"/>
      <c r="U412" s="4"/>
      <c r="V412" s="4"/>
      <c r="W412" s="4" t="s">
        <v>27</v>
      </c>
      <c r="X412" s="4" t="s">
        <v>2037</v>
      </c>
      <c r="Y412" s="4" t="s">
        <v>2037</v>
      </c>
      <c r="Z412" s="4" t="s">
        <v>2211</v>
      </c>
      <c r="AA412" s="4" t="s">
        <v>2216</v>
      </c>
      <c r="AB412" s="4" t="s">
        <v>2217</v>
      </c>
      <c r="AC412" s="4" t="s">
        <v>2218</v>
      </c>
      <c r="AD412" s="4" t="s">
        <v>17</v>
      </c>
      <c r="AE412" s="4" t="s">
        <v>2219</v>
      </c>
      <c r="AF412" s="4" t="s">
        <v>19</v>
      </c>
      <c r="AG412" s="4" t="s">
        <v>19</v>
      </c>
      <c r="AH412" s="4" t="s">
        <v>2217</v>
      </c>
    </row>
    <row r="413" spans="2:34" ht="15">
      <c r="B413" s="1" t="s">
        <v>153</v>
      </c>
      <c r="C413" s="2">
        <v>43669</v>
      </c>
      <c r="D413" s="1" t="s">
        <v>154</v>
      </c>
      <c r="E413" s="1" t="s">
        <v>2220</v>
      </c>
      <c r="F413" s="1" t="s">
        <v>3</v>
      </c>
      <c r="G413" s="1" t="s">
        <v>4</v>
      </c>
      <c r="H413" s="1" t="s">
        <v>109</v>
      </c>
      <c r="I413" s="2">
        <v>43668</v>
      </c>
      <c r="J413" s="3">
        <v>0.6520833333333333</v>
      </c>
      <c r="K413" s="2">
        <v>43670</v>
      </c>
      <c r="L413" s="1" t="s">
        <v>6</v>
      </c>
      <c r="M413" s="1"/>
      <c r="N413" s="1" t="s">
        <v>145</v>
      </c>
      <c r="O413" s="1" t="s">
        <v>146</v>
      </c>
      <c r="P413" s="1" t="s">
        <v>147</v>
      </c>
      <c r="Q413" s="1" t="s">
        <v>4</v>
      </c>
      <c r="R413" s="1" t="s">
        <v>4</v>
      </c>
      <c r="S413" s="1" t="s">
        <v>10</v>
      </c>
      <c r="T413" s="1"/>
      <c r="U413" s="1"/>
      <c r="V413" s="1"/>
      <c r="W413" s="1" t="s">
        <v>11</v>
      </c>
      <c r="X413" s="1" t="s">
        <v>2221</v>
      </c>
      <c r="Y413" s="1" t="s">
        <v>2221</v>
      </c>
      <c r="Z413" s="1" t="s">
        <v>2222</v>
      </c>
      <c r="AA413" s="1" t="s">
        <v>2223</v>
      </c>
      <c r="AB413" s="1" t="s">
        <v>2224</v>
      </c>
      <c r="AC413" s="1" t="s">
        <v>2225</v>
      </c>
      <c r="AD413" s="1" t="s">
        <v>17</v>
      </c>
      <c r="AE413" s="1" t="s">
        <v>18</v>
      </c>
      <c r="AF413" s="1" t="s">
        <v>19</v>
      </c>
      <c r="AG413" s="1" t="s">
        <v>19</v>
      </c>
      <c r="AH413" s="1" t="s">
        <v>2224</v>
      </c>
    </row>
    <row r="414" spans="2:34" ht="15">
      <c r="B414" s="4" t="s">
        <v>153</v>
      </c>
      <c r="C414" s="5">
        <v>43669</v>
      </c>
      <c r="D414" s="4" t="s">
        <v>154</v>
      </c>
      <c r="E414" s="4" t="s">
        <v>2226</v>
      </c>
      <c r="F414" s="4" t="s">
        <v>3</v>
      </c>
      <c r="G414" s="4" t="s">
        <v>4</v>
      </c>
      <c r="H414" s="4" t="s">
        <v>632</v>
      </c>
      <c r="I414" s="5">
        <v>43668</v>
      </c>
      <c r="J414" s="6">
        <v>0.6936689814814815</v>
      </c>
      <c r="K414" s="5">
        <v>43670</v>
      </c>
      <c r="L414" s="4" t="s">
        <v>6</v>
      </c>
      <c r="M414" s="4"/>
      <c r="N414" s="4" t="s">
        <v>316</v>
      </c>
      <c r="O414" s="4" t="s">
        <v>317</v>
      </c>
      <c r="P414" s="4" t="s">
        <v>318</v>
      </c>
      <c r="Q414" s="4" t="s">
        <v>4</v>
      </c>
      <c r="R414" s="4" t="s">
        <v>4</v>
      </c>
      <c r="S414" s="4" t="s">
        <v>10</v>
      </c>
      <c r="T414" s="4"/>
      <c r="U414" s="4"/>
      <c r="V414" s="4"/>
      <c r="W414" s="4" t="s">
        <v>27</v>
      </c>
      <c r="X414" s="4" t="s">
        <v>980</v>
      </c>
      <c r="Y414" s="4" t="s">
        <v>980</v>
      </c>
      <c r="Z414" s="4" t="s">
        <v>2211</v>
      </c>
      <c r="AA414" s="4" t="s">
        <v>2227</v>
      </c>
      <c r="AB414" s="4" t="s">
        <v>2228</v>
      </c>
      <c r="AC414" s="4" t="s">
        <v>2229</v>
      </c>
      <c r="AD414" s="4" t="s">
        <v>17</v>
      </c>
      <c r="AE414" s="4" t="s">
        <v>2230</v>
      </c>
      <c r="AF414" s="4" t="s">
        <v>19</v>
      </c>
      <c r="AG414" s="4" t="s">
        <v>19</v>
      </c>
      <c r="AH414" s="4" t="s">
        <v>2228</v>
      </c>
    </row>
    <row r="415" spans="2:34" ht="15">
      <c r="B415" s="1" t="s">
        <v>153</v>
      </c>
      <c r="C415" s="2">
        <v>43670</v>
      </c>
      <c r="D415" s="1" t="s">
        <v>154</v>
      </c>
      <c r="E415" s="1" t="s">
        <v>2231</v>
      </c>
      <c r="F415" s="1" t="s">
        <v>3</v>
      </c>
      <c r="G415" s="1" t="s">
        <v>4</v>
      </c>
      <c r="H415" s="1" t="s">
        <v>109</v>
      </c>
      <c r="I415" s="2">
        <v>43669</v>
      </c>
      <c r="J415" s="3">
        <v>0.6201388888888889</v>
      </c>
      <c r="K415" s="2">
        <v>43671</v>
      </c>
      <c r="L415" s="1" t="s">
        <v>6</v>
      </c>
      <c r="M415" s="1"/>
      <c r="N415" s="1" t="s">
        <v>145</v>
      </c>
      <c r="O415" s="1" t="s">
        <v>146</v>
      </c>
      <c r="P415" s="1" t="s">
        <v>147</v>
      </c>
      <c r="Q415" s="1" t="s">
        <v>4</v>
      </c>
      <c r="R415" s="1" t="s">
        <v>4</v>
      </c>
      <c r="S415" s="1" t="s">
        <v>10</v>
      </c>
      <c r="T415" s="1"/>
      <c r="U415" s="1"/>
      <c r="V415" s="1"/>
      <c r="W415" s="1" t="s">
        <v>11</v>
      </c>
      <c r="X415" s="1" t="s">
        <v>197</v>
      </c>
      <c r="Y415" s="1" t="s">
        <v>197</v>
      </c>
      <c r="Z415" s="1" t="s">
        <v>2232</v>
      </c>
      <c r="AA415" s="1" t="s">
        <v>2233</v>
      </c>
      <c r="AB415" s="1" t="s">
        <v>2234</v>
      </c>
      <c r="AC415" s="1" t="s">
        <v>2235</v>
      </c>
      <c r="AD415" s="1" t="s">
        <v>17</v>
      </c>
      <c r="AE415" s="1" t="s">
        <v>18</v>
      </c>
      <c r="AF415" s="1" t="s">
        <v>19</v>
      </c>
      <c r="AG415" s="1" t="s">
        <v>19</v>
      </c>
      <c r="AH415" s="1" t="s">
        <v>2234</v>
      </c>
    </row>
    <row r="416" spans="2:34" ht="15">
      <c r="B416" s="4" t="s">
        <v>1518</v>
      </c>
      <c r="C416" s="5">
        <v>43677</v>
      </c>
      <c r="D416" s="4" t="s">
        <v>21</v>
      </c>
      <c r="E416" s="4" t="s">
        <v>2236</v>
      </c>
      <c r="F416" s="4" t="s">
        <v>3</v>
      </c>
      <c r="G416" s="4" t="s">
        <v>4</v>
      </c>
      <c r="H416" s="4" t="s">
        <v>632</v>
      </c>
      <c r="I416" s="5">
        <v>43676</v>
      </c>
      <c r="J416" s="6">
        <v>0.544525462962963</v>
      </c>
      <c r="K416" s="5">
        <v>43678</v>
      </c>
      <c r="L416" s="4" t="s">
        <v>6</v>
      </c>
      <c r="M416" s="4"/>
      <c r="N416" s="4" t="s">
        <v>2237</v>
      </c>
      <c r="O416" s="4" t="s">
        <v>2238</v>
      </c>
      <c r="P416" s="4" t="s">
        <v>2239</v>
      </c>
      <c r="Q416" s="4" t="s">
        <v>4</v>
      </c>
      <c r="R416" s="4" t="s">
        <v>4</v>
      </c>
      <c r="S416" s="4" t="s">
        <v>10</v>
      </c>
      <c r="T416" s="4"/>
      <c r="U416" s="4"/>
      <c r="V416" s="4"/>
      <c r="W416" s="4" t="s">
        <v>27</v>
      </c>
      <c r="X416" s="4" t="s">
        <v>2240</v>
      </c>
      <c r="Y416" s="4" t="s">
        <v>2240</v>
      </c>
      <c r="Z416" s="4" t="s">
        <v>2241</v>
      </c>
      <c r="AA416" s="4" t="s">
        <v>2242</v>
      </c>
      <c r="AB416" s="4" t="s">
        <v>2243</v>
      </c>
      <c r="AC416" s="4" t="s">
        <v>2244</v>
      </c>
      <c r="AD416" s="4" t="s">
        <v>17</v>
      </c>
      <c r="AE416" s="4" t="s">
        <v>18</v>
      </c>
      <c r="AF416" s="4" t="s">
        <v>19</v>
      </c>
      <c r="AG416" s="4" t="s">
        <v>19</v>
      </c>
      <c r="AH416" s="4" t="s">
        <v>2243</v>
      </c>
    </row>
    <row r="417" spans="2:34" ht="15">
      <c r="B417" s="11" t="s">
        <v>1524</v>
      </c>
      <c r="C417" s="12">
        <v>43677</v>
      </c>
      <c r="D417" s="11" t="s">
        <v>1</v>
      </c>
      <c r="E417" s="11" t="s">
        <v>963</v>
      </c>
      <c r="F417" s="11" t="s">
        <v>3</v>
      </c>
      <c r="G417" s="11" t="s">
        <v>4</v>
      </c>
      <c r="H417" s="11" t="s">
        <v>632</v>
      </c>
      <c r="I417" s="12">
        <v>43676</v>
      </c>
      <c r="J417" s="13">
        <v>0.544525462962963</v>
      </c>
      <c r="K417" s="12">
        <v>43678</v>
      </c>
      <c r="L417" s="11" t="s">
        <v>6</v>
      </c>
      <c r="M417" s="11"/>
      <c r="N417" s="11" t="s">
        <v>2237</v>
      </c>
      <c r="O417" s="11" t="s">
        <v>2238</v>
      </c>
      <c r="P417" s="11" t="s">
        <v>2239</v>
      </c>
      <c r="Q417" s="11" t="s">
        <v>4</v>
      </c>
      <c r="R417" s="11" t="s">
        <v>4</v>
      </c>
      <c r="S417" s="11" t="s">
        <v>10</v>
      </c>
      <c r="T417" s="11"/>
      <c r="U417" s="11"/>
      <c r="V417" s="11"/>
      <c r="W417" s="11" t="s">
        <v>27</v>
      </c>
      <c r="X417" s="11" t="s">
        <v>2245</v>
      </c>
      <c r="Y417" s="11" t="s">
        <v>2245</v>
      </c>
      <c r="Z417" s="11" t="s">
        <v>2241</v>
      </c>
      <c r="AA417" s="11" t="s">
        <v>2246</v>
      </c>
      <c r="AB417" s="11" t="s">
        <v>2247</v>
      </c>
      <c r="AC417" s="11" t="s">
        <v>2248</v>
      </c>
      <c r="AD417" s="11" t="s">
        <v>17</v>
      </c>
      <c r="AE417" s="11" t="s">
        <v>18</v>
      </c>
      <c r="AF417" s="11" t="s">
        <v>19</v>
      </c>
      <c r="AG417" s="11" t="s">
        <v>19</v>
      </c>
      <c r="AH417" s="11" t="s">
        <v>2247</v>
      </c>
    </row>
    <row r="418" spans="2:34" ht="15">
      <c r="B418" s="1" t="s">
        <v>1518</v>
      </c>
      <c r="C418" s="2">
        <v>43685</v>
      </c>
      <c r="D418" s="1" t="s">
        <v>21</v>
      </c>
      <c r="E418" s="1" t="s">
        <v>2249</v>
      </c>
      <c r="F418" s="1" t="s">
        <v>3</v>
      </c>
      <c r="G418" s="1" t="s">
        <v>4</v>
      </c>
      <c r="H418" s="1" t="s">
        <v>632</v>
      </c>
      <c r="I418" s="2">
        <v>43684</v>
      </c>
      <c r="J418" s="3">
        <v>0.6585648148148148</v>
      </c>
      <c r="K418" s="2">
        <v>43686</v>
      </c>
      <c r="L418" s="1" t="s">
        <v>6</v>
      </c>
      <c r="M418" s="1"/>
      <c r="N418" s="1" t="s">
        <v>127</v>
      </c>
      <c r="O418" s="1" t="s">
        <v>128</v>
      </c>
      <c r="P418" s="1" t="s">
        <v>129</v>
      </c>
      <c r="Q418" s="1" t="s">
        <v>4</v>
      </c>
      <c r="R418" s="1" t="s">
        <v>4</v>
      </c>
      <c r="S418" s="1" t="s">
        <v>10</v>
      </c>
      <c r="T418" s="1"/>
      <c r="U418" s="1"/>
      <c r="V418" s="1"/>
      <c r="W418" s="1" t="s">
        <v>11</v>
      </c>
      <c r="X418" s="1" t="s">
        <v>319</v>
      </c>
      <c r="Y418" s="1" t="s">
        <v>319</v>
      </c>
      <c r="Z418" s="1" t="s">
        <v>2250</v>
      </c>
      <c r="AA418" s="1" t="s">
        <v>2251</v>
      </c>
      <c r="AB418" s="1" t="s">
        <v>2252</v>
      </c>
      <c r="AC418" s="1" t="s">
        <v>2253</v>
      </c>
      <c r="AD418" s="1" t="s">
        <v>17</v>
      </c>
      <c r="AE418" s="1" t="s">
        <v>18</v>
      </c>
      <c r="AF418" s="1" t="s">
        <v>19</v>
      </c>
      <c r="AG418" s="1" t="s">
        <v>19</v>
      </c>
      <c r="AH418" s="1" t="s">
        <v>2252</v>
      </c>
    </row>
    <row r="419" spans="2:34" ht="15">
      <c r="B419" s="4" t="s">
        <v>2254</v>
      </c>
      <c r="C419" s="5">
        <v>43689</v>
      </c>
      <c r="D419" s="4" t="s">
        <v>21</v>
      </c>
      <c r="E419" s="4" t="s">
        <v>2255</v>
      </c>
      <c r="F419" s="4" t="s">
        <v>3</v>
      </c>
      <c r="G419" s="4" t="s">
        <v>4</v>
      </c>
      <c r="H419" s="4" t="s">
        <v>325</v>
      </c>
      <c r="I419" s="5">
        <v>43686</v>
      </c>
      <c r="J419" s="6">
        <v>0.7052430555555556</v>
      </c>
      <c r="K419" s="5">
        <v>43690</v>
      </c>
      <c r="L419" s="4" t="s">
        <v>2256</v>
      </c>
      <c r="M419" s="4"/>
      <c r="N419" s="4" t="s">
        <v>2165</v>
      </c>
      <c r="O419" s="4" t="s">
        <v>2166</v>
      </c>
      <c r="P419" s="4" t="s">
        <v>2257</v>
      </c>
      <c r="Q419" s="4" t="s">
        <v>4</v>
      </c>
      <c r="R419" s="4" t="s">
        <v>4</v>
      </c>
      <c r="S419" s="4" t="s">
        <v>4</v>
      </c>
      <c r="T419" s="4"/>
      <c r="U419" s="4"/>
      <c r="V419" s="4"/>
      <c r="W419" s="4" t="s">
        <v>2258</v>
      </c>
      <c r="X419" s="4" t="s">
        <v>2259</v>
      </c>
      <c r="Y419" s="4" t="s">
        <v>2259</v>
      </c>
      <c r="Z419" s="4" t="s">
        <v>2260</v>
      </c>
      <c r="AA419" s="4" t="s">
        <v>2261</v>
      </c>
      <c r="AB419" s="4" t="s">
        <v>2261</v>
      </c>
      <c r="AC419" s="4" t="s">
        <v>2262</v>
      </c>
      <c r="AD419" s="4" t="s">
        <v>17</v>
      </c>
      <c r="AE419" s="4" t="s">
        <v>18</v>
      </c>
      <c r="AF419" s="4" t="s">
        <v>19</v>
      </c>
      <c r="AG419" s="4" t="s">
        <v>19</v>
      </c>
      <c r="AH419" s="4" t="s">
        <v>2263</v>
      </c>
    </row>
    <row r="420" spans="2:34" ht="15">
      <c r="B420" s="1" t="s">
        <v>2264</v>
      </c>
      <c r="C420" s="2">
        <v>43693</v>
      </c>
      <c r="D420" s="1" t="s">
        <v>154</v>
      </c>
      <c r="E420" s="1" t="s">
        <v>2265</v>
      </c>
      <c r="F420" s="1" t="s">
        <v>3</v>
      </c>
      <c r="G420" s="1" t="s">
        <v>4</v>
      </c>
      <c r="H420" s="1" t="s">
        <v>2266</v>
      </c>
      <c r="I420" s="2">
        <v>43692</v>
      </c>
      <c r="J420" s="3">
        <v>0.6676157407407407</v>
      </c>
      <c r="K420" s="2">
        <v>43696</v>
      </c>
      <c r="L420" s="1" t="s">
        <v>2256</v>
      </c>
      <c r="M420" s="1"/>
      <c r="N420" s="1" t="s">
        <v>391</v>
      </c>
      <c r="O420" s="1" t="s">
        <v>392</v>
      </c>
      <c r="P420" s="1" t="s">
        <v>2267</v>
      </c>
      <c r="Q420" s="1" t="s">
        <v>4</v>
      </c>
      <c r="R420" s="1" t="s">
        <v>4</v>
      </c>
      <c r="S420" s="1" t="s">
        <v>4</v>
      </c>
      <c r="T420" s="1"/>
      <c r="U420" s="1"/>
      <c r="V420" s="1"/>
      <c r="W420" s="1" t="s">
        <v>2258</v>
      </c>
      <c r="X420" s="1" t="s">
        <v>2268</v>
      </c>
      <c r="Y420" s="1" t="s">
        <v>2268</v>
      </c>
      <c r="Z420" s="1" t="s">
        <v>2269</v>
      </c>
      <c r="AA420" s="1" t="s">
        <v>2270</v>
      </c>
      <c r="AB420" s="1" t="s">
        <v>2270</v>
      </c>
      <c r="AC420" s="1" t="s">
        <v>2271</v>
      </c>
      <c r="AD420" s="1" t="s">
        <v>17</v>
      </c>
      <c r="AE420" s="1" t="s">
        <v>18</v>
      </c>
      <c r="AF420" s="1" t="s">
        <v>19</v>
      </c>
      <c r="AG420" s="1" t="s">
        <v>19</v>
      </c>
      <c r="AH420" s="1" t="s">
        <v>2272</v>
      </c>
    </row>
    <row r="421" spans="2:34" ht="15">
      <c r="B421" s="4" t="s">
        <v>2264</v>
      </c>
      <c r="C421" s="5">
        <v>43693</v>
      </c>
      <c r="D421" s="4" t="s">
        <v>154</v>
      </c>
      <c r="E421" s="4" t="s">
        <v>2273</v>
      </c>
      <c r="F421" s="4" t="s">
        <v>3</v>
      </c>
      <c r="G421" s="4" t="s">
        <v>4</v>
      </c>
      <c r="H421" s="4" t="s">
        <v>119</v>
      </c>
      <c r="I421" s="5">
        <v>43692</v>
      </c>
      <c r="J421" s="6">
        <v>0.6562731481481482</v>
      </c>
      <c r="K421" s="5">
        <v>43696</v>
      </c>
      <c r="L421" s="4" t="s">
        <v>2256</v>
      </c>
      <c r="M421" s="4"/>
      <c r="N421" s="4" t="s">
        <v>288</v>
      </c>
      <c r="O421" s="4" t="s">
        <v>289</v>
      </c>
      <c r="P421" s="4" t="s">
        <v>2274</v>
      </c>
      <c r="Q421" s="4" t="s">
        <v>4</v>
      </c>
      <c r="R421" s="4" t="s">
        <v>4</v>
      </c>
      <c r="S421" s="4" t="s">
        <v>4</v>
      </c>
      <c r="T421" s="4"/>
      <c r="U421" s="4"/>
      <c r="V421" s="4"/>
      <c r="W421" s="4" t="s">
        <v>2258</v>
      </c>
      <c r="X421" s="4" t="s">
        <v>2275</v>
      </c>
      <c r="Y421" s="4" t="s">
        <v>2275</v>
      </c>
      <c r="Z421" s="4" t="s">
        <v>563</v>
      </c>
      <c r="AA421" s="4" t="s">
        <v>2276</v>
      </c>
      <c r="AB421" s="4" t="s">
        <v>2276</v>
      </c>
      <c r="AC421" s="4" t="s">
        <v>2277</v>
      </c>
      <c r="AD421" s="4" t="s">
        <v>17</v>
      </c>
      <c r="AE421" s="4" t="s">
        <v>18</v>
      </c>
      <c r="AF421" s="4" t="s">
        <v>19</v>
      </c>
      <c r="AG421" s="4" t="s">
        <v>19</v>
      </c>
      <c r="AH421" s="4" t="s">
        <v>2278</v>
      </c>
    </row>
    <row r="422" spans="2:34" ht="15">
      <c r="B422" s="1" t="s">
        <v>1524</v>
      </c>
      <c r="C422" s="2">
        <v>43696</v>
      </c>
      <c r="D422" s="1" t="s">
        <v>1</v>
      </c>
      <c r="E422" s="1" t="s">
        <v>2279</v>
      </c>
      <c r="F422" s="1" t="s">
        <v>3</v>
      </c>
      <c r="G422" s="1" t="s">
        <v>4</v>
      </c>
      <c r="H422" s="1" t="s">
        <v>325</v>
      </c>
      <c r="I422" s="2">
        <v>43693</v>
      </c>
      <c r="J422" s="3">
        <v>0.8328009259259259</v>
      </c>
      <c r="K422" s="2">
        <v>43697</v>
      </c>
      <c r="L422" s="1" t="s">
        <v>2256</v>
      </c>
      <c r="M422" s="1"/>
      <c r="N422" s="1" t="s">
        <v>596</v>
      </c>
      <c r="O422" s="1" t="s">
        <v>597</v>
      </c>
      <c r="P422" s="1" t="s">
        <v>2280</v>
      </c>
      <c r="Q422" s="1" t="s">
        <v>4</v>
      </c>
      <c r="R422" s="1" t="s">
        <v>4</v>
      </c>
      <c r="S422" s="1" t="s">
        <v>10</v>
      </c>
      <c r="T422" s="1"/>
      <c r="U422" s="1"/>
      <c r="V422" s="1"/>
      <c r="W422" s="1" t="s">
        <v>2258</v>
      </c>
      <c r="X422" s="1" t="s">
        <v>2281</v>
      </c>
      <c r="Y422" s="1" t="s">
        <v>2281</v>
      </c>
      <c r="Z422" s="1" t="s">
        <v>2282</v>
      </c>
      <c r="AA422" s="1" t="s">
        <v>2283</v>
      </c>
      <c r="AB422" s="1" t="s">
        <v>2284</v>
      </c>
      <c r="AC422" s="1" t="s">
        <v>2285</v>
      </c>
      <c r="AD422" s="1" t="s">
        <v>17</v>
      </c>
      <c r="AE422" s="1" t="s">
        <v>18</v>
      </c>
      <c r="AF422" s="1" t="s">
        <v>19</v>
      </c>
      <c r="AG422" s="1" t="s">
        <v>19</v>
      </c>
      <c r="AH422" s="1" t="s">
        <v>2284</v>
      </c>
    </row>
    <row r="423" spans="2:34" ht="15">
      <c r="B423" s="4" t="s">
        <v>1524</v>
      </c>
      <c r="C423" s="5">
        <v>43696</v>
      </c>
      <c r="D423" s="4" t="s">
        <v>1</v>
      </c>
      <c r="E423" s="4" t="s">
        <v>2286</v>
      </c>
      <c r="F423" s="4" t="s">
        <v>3</v>
      </c>
      <c r="G423" s="4" t="s">
        <v>4</v>
      </c>
      <c r="H423" s="4" t="s">
        <v>632</v>
      </c>
      <c r="I423" s="5">
        <v>43693</v>
      </c>
      <c r="J423" s="6">
        <v>0.8326967592592592</v>
      </c>
      <c r="K423" s="5">
        <v>43697</v>
      </c>
      <c r="L423" s="4" t="s">
        <v>2256</v>
      </c>
      <c r="M423" s="4"/>
      <c r="N423" s="4" t="s">
        <v>2287</v>
      </c>
      <c r="O423" s="4" t="s">
        <v>2288</v>
      </c>
      <c r="P423" s="4" t="s">
        <v>2289</v>
      </c>
      <c r="Q423" s="4" t="s">
        <v>4</v>
      </c>
      <c r="R423" s="4" t="s">
        <v>4</v>
      </c>
      <c r="S423" s="4" t="s">
        <v>10</v>
      </c>
      <c r="T423" s="4"/>
      <c r="U423" s="4"/>
      <c r="V423" s="4"/>
      <c r="W423" s="4" t="s">
        <v>2258</v>
      </c>
      <c r="X423" s="4" t="s">
        <v>1220</v>
      </c>
      <c r="Y423" s="4" t="s">
        <v>1220</v>
      </c>
      <c r="Z423" s="4" t="s">
        <v>2290</v>
      </c>
      <c r="AA423" s="4" t="s">
        <v>2291</v>
      </c>
      <c r="AB423" s="4" t="s">
        <v>2292</v>
      </c>
      <c r="AC423" s="4" t="s">
        <v>2293</v>
      </c>
      <c r="AD423" s="4" t="s">
        <v>17</v>
      </c>
      <c r="AE423" s="4" t="s">
        <v>18</v>
      </c>
      <c r="AF423" s="4" t="s">
        <v>19</v>
      </c>
      <c r="AG423" s="4" t="s">
        <v>19</v>
      </c>
      <c r="AH423" s="4" t="s">
        <v>2292</v>
      </c>
    </row>
    <row r="424" spans="2:34" ht="15">
      <c r="B424" s="1" t="s">
        <v>1524</v>
      </c>
      <c r="C424" s="2">
        <v>43697</v>
      </c>
      <c r="D424" s="1" t="s">
        <v>1</v>
      </c>
      <c r="E424" s="1" t="s">
        <v>2294</v>
      </c>
      <c r="F424" s="1" t="s">
        <v>3</v>
      </c>
      <c r="G424" s="1" t="s">
        <v>4</v>
      </c>
      <c r="H424" s="1" t="s">
        <v>119</v>
      </c>
      <c r="I424" s="2">
        <v>43697</v>
      </c>
      <c r="J424" s="3">
        <v>0.3992361111111111</v>
      </c>
      <c r="K424" s="2">
        <v>43699</v>
      </c>
      <c r="L424" s="1" t="s">
        <v>2256</v>
      </c>
      <c r="M424" s="1"/>
      <c r="N424" s="1" t="s">
        <v>663</v>
      </c>
      <c r="O424" s="1" t="s">
        <v>664</v>
      </c>
      <c r="P424" s="1" t="s">
        <v>2295</v>
      </c>
      <c r="Q424" s="1" t="s">
        <v>4</v>
      </c>
      <c r="R424" s="1" t="s">
        <v>4</v>
      </c>
      <c r="S424" s="1" t="s">
        <v>10</v>
      </c>
      <c r="T424" s="1"/>
      <c r="U424" s="1"/>
      <c r="V424" s="1"/>
      <c r="W424" s="1" t="s">
        <v>1963</v>
      </c>
      <c r="X424" s="1" t="s">
        <v>2296</v>
      </c>
      <c r="Y424" s="1" t="s">
        <v>2296</v>
      </c>
      <c r="Z424" s="1" t="s">
        <v>361</v>
      </c>
      <c r="AA424" s="1" t="s">
        <v>2297</v>
      </c>
      <c r="AB424" s="1" t="s">
        <v>2298</v>
      </c>
      <c r="AC424" s="1" t="s">
        <v>2299</v>
      </c>
      <c r="AD424" s="1" t="s">
        <v>17</v>
      </c>
      <c r="AE424" s="1" t="s">
        <v>2300</v>
      </c>
      <c r="AF424" s="1" t="s">
        <v>19</v>
      </c>
      <c r="AG424" s="1" t="s">
        <v>19</v>
      </c>
      <c r="AH424" s="1" t="s">
        <v>2298</v>
      </c>
    </row>
    <row r="425" spans="2:34" ht="15">
      <c r="B425" s="4" t="s">
        <v>1524</v>
      </c>
      <c r="C425" s="5">
        <v>43697</v>
      </c>
      <c r="D425" s="4" t="s">
        <v>1</v>
      </c>
      <c r="E425" s="4" t="s">
        <v>2301</v>
      </c>
      <c r="F425" s="4" t="s">
        <v>3</v>
      </c>
      <c r="G425" s="4" t="s">
        <v>4</v>
      </c>
      <c r="H425" s="4" t="s">
        <v>119</v>
      </c>
      <c r="I425" s="5">
        <v>43696</v>
      </c>
      <c r="J425" s="6">
        <v>0.7083333333333334</v>
      </c>
      <c r="K425" s="5">
        <v>43698</v>
      </c>
      <c r="L425" s="4" t="s">
        <v>2256</v>
      </c>
      <c r="M425" s="4"/>
      <c r="N425" s="4" t="s">
        <v>663</v>
      </c>
      <c r="O425" s="4" t="s">
        <v>664</v>
      </c>
      <c r="P425" s="4" t="s">
        <v>2295</v>
      </c>
      <c r="Q425" s="4" t="s">
        <v>4</v>
      </c>
      <c r="R425" s="4" t="s">
        <v>4</v>
      </c>
      <c r="S425" s="4" t="s">
        <v>10</v>
      </c>
      <c r="T425" s="4"/>
      <c r="U425" s="4"/>
      <c r="V425" s="4"/>
      <c r="W425" s="4" t="s">
        <v>1963</v>
      </c>
      <c r="X425" s="4" t="s">
        <v>1872</v>
      </c>
      <c r="Y425" s="4" t="s">
        <v>1872</v>
      </c>
      <c r="Z425" s="4" t="s">
        <v>2302</v>
      </c>
      <c r="AA425" s="4" t="s">
        <v>2303</v>
      </c>
      <c r="AB425" s="4" t="s">
        <v>2304</v>
      </c>
      <c r="AC425" s="4" t="s">
        <v>2305</v>
      </c>
      <c r="AD425" s="4" t="s">
        <v>17</v>
      </c>
      <c r="AE425" s="4" t="s">
        <v>2306</v>
      </c>
      <c r="AF425" s="4" t="s">
        <v>19</v>
      </c>
      <c r="AG425" s="4" t="s">
        <v>19</v>
      </c>
      <c r="AH425" s="4" t="s">
        <v>2304</v>
      </c>
    </row>
    <row r="426" spans="2:34" ht="15">
      <c r="B426" s="1" t="s">
        <v>1524</v>
      </c>
      <c r="C426" s="2">
        <v>43698</v>
      </c>
      <c r="D426" s="1" t="s">
        <v>1</v>
      </c>
      <c r="E426" s="1" t="s">
        <v>2301</v>
      </c>
      <c r="F426" s="1" t="s">
        <v>3</v>
      </c>
      <c r="G426" s="1" t="s">
        <v>85</v>
      </c>
      <c r="H426" s="1" t="s">
        <v>119</v>
      </c>
      <c r="I426" s="2">
        <v>43696</v>
      </c>
      <c r="J426" s="3">
        <v>0.7083333333333334</v>
      </c>
      <c r="K426" s="2">
        <v>43698</v>
      </c>
      <c r="L426" s="1" t="s">
        <v>2256</v>
      </c>
      <c r="M426" s="1"/>
      <c r="N426" s="1" t="s">
        <v>663</v>
      </c>
      <c r="O426" s="1" t="s">
        <v>664</v>
      </c>
      <c r="P426" s="1" t="s">
        <v>2295</v>
      </c>
      <c r="Q426" s="1" t="s">
        <v>4</v>
      </c>
      <c r="R426" s="1" t="s">
        <v>4</v>
      </c>
      <c r="S426" s="1" t="s">
        <v>10</v>
      </c>
      <c r="T426" s="1"/>
      <c r="U426" s="1"/>
      <c r="V426" s="1"/>
      <c r="W426" s="1" t="s">
        <v>1963</v>
      </c>
      <c r="X426" s="1" t="s">
        <v>1872</v>
      </c>
      <c r="Y426" s="1" t="s">
        <v>1872</v>
      </c>
      <c r="Z426" s="1" t="s">
        <v>2302</v>
      </c>
      <c r="AA426" s="1" t="s">
        <v>2303</v>
      </c>
      <c r="AB426" s="1" t="s">
        <v>2304</v>
      </c>
      <c r="AC426" s="1" t="s">
        <v>2305</v>
      </c>
      <c r="AD426" s="1" t="s">
        <v>17</v>
      </c>
      <c r="AE426" s="1" t="s">
        <v>2306</v>
      </c>
      <c r="AF426" s="1" t="s">
        <v>19</v>
      </c>
      <c r="AG426" s="1" t="s">
        <v>19</v>
      </c>
      <c r="AH426" s="1" t="s">
        <v>2304</v>
      </c>
    </row>
    <row r="427" spans="2:34" ht="15">
      <c r="B427" s="4" t="s">
        <v>1524</v>
      </c>
      <c r="C427" s="5">
        <v>43698</v>
      </c>
      <c r="D427" s="4" t="s">
        <v>1</v>
      </c>
      <c r="E427" s="4" t="s">
        <v>2307</v>
      </c>
      <c r="F427" s="4" t="s">
        <v>3</v>
      </c>
      <c r="G427" s="4" t="s">
        <v>4</v>
      </c>
      <c r="H427" s="4" t="s">
        <v>119</v>
      </c>
      <c r="I427" s="5">
        <v>43697</v>
      </c>
      <c r="J427" s="6">
        <v>0.42269675925925926</v>
      </c>
      <c r="K427" s="5">
        <v>43699</v>
      </c>
      <c r="L427" s="4" t="s">
        <v>2256</v>
      </c>
      <c r="M427" s="4"/>
      <c r="N427" s="4" t="s">
        <v>663</v>
      </c>
      <c r="O427" s="4" t="s">
        <v>664</v>
      </c>
      <c r="P427" s="4" t="s">
        <v>2295</v>
      </c>
      <c r="Q427" s="4" t="s">
        <v>4</v>
      </c>
      <c r="R427" s="4" t="s">
        <v>4</v>
      </c>
      <c r="S427" s="4" t="s">
        <v>10</v>
      </c>
      <c r="T427" s="4"/>
      <c r="U427" s="4"/>
      <c r="V427" s="4"/>
      <c r="W427" s="4" t="s">
        <v>1963</v>
      </c>
      <c r="X427" s="4" t="s">
        <v>1872</v>
      </c>
      <c r="Y427" s="4" t="s">
        <v>1872</v>
      </c>
      <c r="Z427" s="4" t="s">
        <v>2302</v>
      </c>
      <c r="AA427" s="4" t="s">
        <v>2303</v>
      </c>
      <c r="AB427" s="4" t="s">
        <v>2304</v>
      </c>
      <c r="AC427" s="4" t="s">
        <v>2305</v>
      </c>
      <c r="AD427" s="4" t="s">
        <v>17</v>
      </c>
      <c r="AE427" s="4" t="s">
        <v>2306</v>
      </c>
      <c r="AF427" s="4" t="s">
        <v>19</v>
      </c>
      <c r="AG427" s="4" t="s">
        <v>19</v>
      </c>
      <c r="AH427" s="4" t="s">
        <v>2304</v>
      </c>
    </row>
    <row r="428" spans="2:34" ht="15">
      <c r="B428" s="1" t="s">
        <v>1518</v>
      </c>
      <c r="C428" s="2">
        <v>43699</v>
      </c>
      <c r="D428" s="1" t="s">
        <v>21</v>
      </c>
      <c r="E428" s="1" t="s">
        <v>2308</v>
      </c>
      <c r="F428" s="1" t="s">
        <v>3</v>
      </c>
      <c r="G428" s="1" t="s">
        <v>4</v>
      </c>
      <c r="H428" s="1" t="s">
        <v>23</v>
      </c>
      <c r="I428" s="2">
        <v>43699</v>
      </c>
      <c r="J428" s="3">
        <v>0.3333333333333333</v>
      </c>
      <c r="K428" s="2">
        <v>43706</v>
      </c>
      <c r="L428" s="1" t="s">
        <v>6</v>
      </c>
      <c r="M428" s="1"/>
      <c r="N428" s="1"/>
      <c r="O428" s="1" t="s">
        <v>2309</v>
      </c>
      <c r="P428" s="1" t="s">
        <v>2310</v>
      </c>
      <c r="Q428" s="1" t="s">
        <v>4</v>
      </c>
      <c r="R428" s="1" t="s">
        <v>85</v>
      </c>
      <c r="S428" s="1" t="s">
        <v>85</v>
      </c>
      <c r="T428" s="1"/>
      <c r="U428" s="1"/>
      <c r="V428" s="1"/>
      <c r="W428" s="1" t="s">
        <v>1963</v>
      </c>
      <c r="X428" s="1" t="s">
        <v>2311</v>
      </c>
      <c r="Y428" s="1" t="s">
        <v>2311</v>
      </c>
      <c r="Z428" s="1" t="s">
        <v>2312</v>
      </c>
      <c r="AA428" s="1" t="s">
        <v>2313</v>
      </c>
      <c r="AB428" s="1" t="s">
        <v>2313</v>
      </c>
      <c r="AC428" s="1" t="s">
        <v>17</v>
      </c>
      <c r="AD428" s="1" t="s">
        <v>17</v>
      </c>
      <c r="AE428" s="1" t="s">
        <v>17</v>
      </c>
      <c r="AF428" s="1" t="s">
        <v>19</v>
      </c>
      <c r="AG428" s="1" t="s">
        <v>19</v>
      </c>
      <c r="AH428" s="1" t="s">
        <v>2313</v>
      </c>
    </row>
    <row r="429" spans="2:34" ht="15">
      <c r="B429" s="4" t="s">
        <v>1524</v>
      </c>
      <c r="C429" s="5">
        <v>43699</v>
      </c>
      <c r="D429" s="4" t="s">
        <v>1</v>
      </c>
      <c r="E429" s="4" t="s">
        <v>2314</v>
      </c>
      <c r="F429" s="4" t="s">
        <v>3</v>
      </c>
      <c r="G429" s="4" t="s">
        <v>4</v>
      </c>
      <c r="H429" s="4" t="s">
        <v>119</v>
      </c>
      <c r="I429" s="5">
        <v>43698</v>
      </c>
      <c r="J429" s="6">
        <v>0.7083333333333334</v>
      </c>
      <c r="K429" s="5">
        <v>43700</v>
      </c>
      <c r="L429" s="4" t="s">
        <v>6</v>
      </c>
      <c r="M429" s="4"/>
      <c r="N429" s="4" t="s">
        <v>450</v>
      </c>
      <c r="O429" s="4" t="s">
        <v>451</v>
      </c>
      <c r="P429" s="4" t="s">
        <v>2315</v>
      </c>
      <c r="Q429" s="4" t="s">
        <v>4</v>
      </c>
      <c r="R429" s="4" t="s">
        <v>4</v>
      </c>
      <c r="S429" s="4" t="s">
        <v>10</v>
      </c>
      <c r="T429" s="4"/>
      <c r="U429" s="4"/>
      <c r="V429" s="4"/>
      <c r="W429" s="4" t="s">
        <v>2258</v>
      </c>
      <c r="X429" s="4" t="s">
        <v>2316</v>
      </c>
      <c r="Y429" s="4" t="s">
        <v>2316</v>
      </c>
      <c r="Z429" s="4" t="s">
        <v>2317</v>
      </c>
      <c r="AA429" s="4" t="s">
        <v>2318</v>
      </c>
      <c r="AB429" s="4" t="s">
        <v>2319</v>
      </c>
      <c r="AC429" s="4" t="s">
        <v>2320</v>
      </c>
      <c r="AD429" s="4" t="s">
        <v>17</v>
      </c>
      <c r="AE429" s="4" t="s">
        <v>18</v>
      </c>
      <c r="AF429" s="4" t="s">
        <v>19</v>
      </c>
      <c r="AG429" s="4" t="s">
        <v>19</v>
      </c>
      <c r="AH429" s="4" t="s">
        <v>2319</v>
      </c>
    </row>
    <row r="430" spans="2:34" ht="15">
      <c r="B430" s="1" t="s">
        <v>153</v>
      </c>
      <c r="C430" s="2">
        <v>43699</v>
      </c>
      <c r="D430" s="1" t="s">
        <v>154</v>
      </c>
      <c r="E430" s="1" t="s">
        <v>2321</v>
      </c>
      <c r="F430" s="1" t="s">
        <v>3</v>
      </c>
      <c r="G430" s="1" t="s">
        <v>4</v>
      </c>
      <c r="H430" s="1" t="s">
        <v>23</v>
      </c>
      <c r="I430" s="2">
        <v>43699</v>
      </c>
      <c r="J430" s="3">
        <v>0.3333333333333333</v>
      </c>
      <c r="K430" s="2">
        <v>43706</v>
      </c>
      <c r="L430" s="1" t="s">
        <v>6</v>
      </c>
      <c r="M430" s="1"/>
      <c r="N430" s="1"/>
      <c r="O430" s="1" t="s">
        <v>2309</v>
      </c>
      <c r="P430" s="1" t="s">
        <v>2310</v>
      </c>
      <c r="Q430" s="1" t="s">
        <v>4</v>
      </c>
      <c r="R430" s="1" t="s">
        <v>85</v>
      </c>
      <c r="S430" s="1" t="s">
        <v>85</v>
      </c>
      <c r="T430" s="1"/>
      <c r="U430" s="1"/>
      <c r="V430" s="1"/>
      <c r="W430" s="1" t="s">
        <v>1963</v>
      </c>
      <c r="X430" s="1" t="s">
        <v>2322</v>
      </c>
      <c r="Y430" s="1" t="s">
        <v>2322</v>
      </c>
      <c r="Z430" s="1" t="s">
        <v>2312</v>
      </c>
      <c r="AA430" s="1" t="s">
        <v>2323</v>
      </c>
      <c r="AB430" s="1" t="s">
        <v>2323</v>
      </c>
      <c r="AC430" s="1" t="s">
        <v>17</v>
      </c>
      <c r="AD430" s="1" t="s">
        <v>17</v>
      </c>
      <c r="AE430" s="1" t="s">
        <v>17</v>
      </c>
      <c r="AF430" s="1" t="s">
        <v>19</v>
      </c>
      <c r="AG430" s="1" t="s">
        <v>19</v>
      </c>
      <c r="AH430" s="1" t="s">
        <v>2323</v>
      </c>
    </row>
    <row r="431" spans="2:34" ht="15">
      <c r="B431" s="4" t="s">
        <v>1524</v>
      </c>
      <c r="C431" s="5">
        <v>43700</v>
      </c>
      <c r="D431" s="4" t="s">
        <v>1</v>
      </c>
      <c r="E431" s="4" t="s">
        <v>2324</v>
      </c>
      <c r="F431" s="4" t="s">
        <v>3</v>
      </c>
      <c r="G431" s="4" t="s">
        <v>4</v>
      </c>
      <c r="H431" s="4" t="s">
        <v>914</v>
      </c>
      <c r="I431" s="5">
        <v>43699</v>
      </c>
      <c r="J431" s="6">
        <v>0.7375694444444445</v>
      </c>
      <c r="K431" s="5">
        <v>43704</v>
      </c>
      <c r="L431" s="4" t="s">
        <v>2256</v>
      </c>
      <c r="M431" s="4"/>
      <c r="N431" s="4" t="s">
        <v>156</v>
      </c>
      <c r="O431" s="4" t="s">
        <v>157</v>
      </c>
      <c r="P431" s="4" t="s">
        <v>2325</v>
      </c>
      <c r="Q431" s="4" t="s">
        <v>4</v>
      </c>
      <c r="R431" s="4" t="s">
        <v>4</v>
      </c>
      <c r="S431" s="4" t="s">
        <v>10</v>
      </c>
      <c r="T431" s="4"/>
      <c r="U431" s="4"/>
      <c r="V431" s="4"/>
      <c r="W431" s="4" t="s">
        <v>1963</v>
      </c>
      <c r="X431" s="4" t="s">
        <v>1044</v>
      </c>
      <c r="Y431" s="4" t="s">
        <v>2316</v>
      </c>
      <c r="Z431" s="4" t="s">
        <v>2326</v>
      </c>
      <c r="AA431" s="4" t="s">
        <v>2327</v>
      </c>
      <c r="AB431" s="4" t="s">
        <v>2328</v>
      </c>
      <c r="AC431" s="4" t="s">
        <v>2329</v>
      </c>
      <c r="AD431" s="4" t="s">
        <v>17</v>
      </c>
      <c r="AE431" s="4" t="s">
        <v>18</v>
      </c>
      <c r="AF431" s="4" t="s">
        <v>19</v>
      </c>
      <c r="AG431" s="4" t="s">
        <v>19</v>
      </c>
      <c r="AH431" s="4" t="s">
        <v>2328</v>
      </c>
    </row>
    <row r="432" spans="2:34" ht="15">
      <c r="B432" s="1" t="s">
        <v>153</v>
      </c>
      <c r="C432" s="2">
        <v>43700</v>
      </c>
      <c r="D432" s="1" t="s">
        <v>154</v>
      </c>
      <c r="E432" s="1" t="s">
        <v>2330</v>
      </c>
      <c r="F432" s="1" t="s">
        <v>3</v>
      </c>
      <c r="G432" s="1" t="s">
        <v>4</v>
      </c>
      <c r="H432" s="1" t="s">
        <v>2331</v>
      </c>
      <c r="I432" s="2">
        <v>43700</v>
      </c>
      <c r="J432" s="3">
        <v>0.36537037037037035</v>
      </c>
      <c r="K432" s="2">
        <v>43705</v>
      </c>
      <c r="L432" s="1" t="s">
        <v>2256</v>
      </c>
      <c r="M432" s="1"/>
      <c r="N432" s="1" t="s">
        <v>876</v>
      </c>
      <c r="O432" s="1" t="s">
        <v>877</v>
      </c>
      <c r="P432" s="1" t="s">
        <v>2332</v>
      </c>
      <c r="Q432" s="1" t="s">
        <v>4</v>
      </c>
      <c r="R432" s="1" t="s">
        <v>4</v>
      </c>
      <c r="S432" s="1" t="s">
        <v>10</v>
      </c>
      <c r="T432" s="1"/>
      <c r="U432" s="1"/>
      <c r="V432" s="1"/>
      <c r="W432" s="1" t="s">
        <v>1963</v>
      </c>
      <c r="X432" s="1" t="s">
        <v>2333</v>
      </c>
      <c r="Y432" s="1" t="s">
        <v>2333</v>
      </c>
      <c r="Z432" s="1" t="s">
        <v>2334</v>
      </c>
      <c r="AA432" s="1" t="s">
        <v>2335</v>
      </c>
      <c r="AB432" s="1" t="s">
        <v>2336</v>
      </c>
      <c r="AC432" s="1" t="s">
        <v>2337</v>
      </c>
      <c r="AD432" s="1" t="s">
        <v>17</v>
      </c>
      <c r="AE432" s="1" t="s">
        <v>2338</v>
      </c>
      <c r="AF432" s="1" t="s">
        <v>19</v>
      </c>
      <c r="AG432" s="1" t="s">
        <v>19</v>
      </c>
      <c r="AH432" s="1" t="s">
        <v>2336</v>
      </c>
    </row>
    <row r="433" spans="2:34" ht="15">
      <c r="B433" s="4" t="s">
        <v>153</v>
      </c>
      <c r="C433" s="5">
        <v>43700</v>
      </c>
      <c r="D433" s="4" t="s">
        <v>154</v>
      </c>
      <c r="E433" s="4" t="s">
        <v>2339</v>
      </c>
      <c r="F433" s="4" t="s">
        <v>3</v>
      </c>
      <c r="G433" s="4" t="s">
        <v>4</v>
      </c>
      <c r="H433" s="4" t="s">
        <v>2331</v>
      </c>
      <c r="I433" s="5">
        <v>43700</v>
      </c>
      <c r="J433" s="6">
        <v>0.3768287037037037</v>
      </c>
      <c r="K433" s="5">
        <v>43705</v>
      </c>
      <c r="L433" s="4" t="s">
        <v>2256</v>
      </c>
      <c r="M433" s="4"/>
      <c r="N433" s="4" t="s">
        <v>39</v>
      </c>
      <c r="O433" s="4" t="s">
        <v>40</v>
      </c>
      <c r="P433" s="4" t="s">
        <v>2340</v>
      </c>
      <c r="Q433" s="4" t="s">
        <v>4</v>
      </c>
      <c r="R433" s="4" t="s">
        <v>4</v>
      </c>
      <c r="S433" s="4" t="s">
        <v>10</v>
      </c>
      <c r="T433" s="4"/>
      <c r="U433" s="4"/>
      <c r="V433" s="4"/>
      <c r="W433" s="4" t="s">
        <v>1963</v>
      </c>
      <c r="X433" s="4" t="s">
        <v>2341</v>
      </c>
      <c r="Y433" s="4" t="s">
        <v>2341</v>
      </c>
      <c r="Z433" s="4" t="s">
        <v>880</v>
      </c>
      <c r="AA433" s="4" t="s">
        <v>2342</v>
      </c>
      <c r="AB433" s="4" t="s">
        <v>2343</v>
      </c>
      <c r="AC433" s="4" t="s">
        <v>2344</v>
      </c>
      <c r="AD433" s="4" t="s">
        <v>17</v>
      </c>
      <c r="AE433" s="4" t="s">
        <v>18</v>
      </c>
      <c r="AF433" s="4" t="s">
        <v>19</v>
      </c>
      <c r="AG433" s="4" t="s">
        <v>19</v>
      </c>
      <c r="AH433" s="4" t="s">
        <v>2343</v>
      </c>
    </row>
    <row r="434" spans="2:34" ht="15">
      <c r="B434" s="1" t="s">
        <v>1524</v>
      </c>
      <c r="C434" s="2">
        <v>43704</v>
      </c>
      <c r="D434" s="1" t="s">
        <v>1</v>
      </c>
      <c r="E434" s="1" t="s">
        <v>2345</v>
      </c>
      <c r="F434" s="1" t="s">
        <v>3</v>
      </c>
      <c r="G434" s="1" t="s">
        <v>4</v>
      </c>
      <c r="H434" s="1" t="s">
        <v>914</v>
      </c>
      <c r="I434" s="2">
        <v>43700</v>
      </c>
      <c r="J434" s="3">
        <v>0.7309722222222222</v>
      </c>
      <c r="K434" s="2">
        <v>43705</v>
      </c>
      <c r="L434" s="1" t="s">
        <v>2256</v>
      </c>
      <c r="M434" s="1"/>
      <c r="N434" s="1" t="s">
        <v>156</v>
      </c>
      <c r="O434" s="1" t="s">
        <v>157</v>
      </c>
      <c r="P434" s="1" t="s">
        <v>2325</v>
      </c>
      <c r="Q434" s="1" t="s">
        <v>4</v>
      </c>
      <c r="R434" s="1" t="s">
        <v>4</v>
      </c>
      <c r="S434" s="1" t="s">
        <v>4</v>
      </c>
      <c r="T434" s="1"/>
      <c r="U434" s="1"/>
      <c r="V434" s="1"/>
      <c r="W434" s="1" t="s">
        <v>1963</v>
      </c>
      <c r="X434" s="1" t="s">
        <v>197</v>
      </c>
      <c r="Y434" s="1" t="s">
        <v>197</v>
      </c>
      <c r="Z434" s="1" t="s">
        <v>2326</v>
      </c>
      <c r="AA434" s="1" t="s">
        <v>2346</v>
      </c>
      <c r="AB434" s="1" t="s">
        <v>2347</v>
      </c>
      <c r="AC434" s="1" t="s">
        <v>2348</v>
      </c>
      <c r="AD434" s="1" t="s">
        <v>17</v>
      </c>
      <c r="AE434" s="1" t="s">
        <v>17</v>
      </c>
      <c r="AF434" s="1" t="s">
        <v>19</v>
      </c>
      <c r="AG434" s="1" t="s">
        <v>19</v>
      </c>
      <c r="AH434" s="1" t="s">
        <v>2347</v>
      </c>
    </row>
    <row r="435" spans="2:34" ht="15">
      <c r="B435" s="4" t="s">
        <v>1524</v>
      </c>
      <c r="C435" s="5">
        <v>43704</v>
      </c>
      <c r="D435" s="4" t="s">
        <v>1</v>
      </c>
      <c r="E435" s="4" t="s">
        <v>2349</v>
      </c>
      <c r="F435" s="4" t="s">
        <v>3</v>
      </c>
      <c r="G435" s="4" t="s">
        <v>4</v>
      </c>
      <c r="H435" s="4" t="s">
        <v>119</v>
      </c>
      <c r="I435" s="5">
        <v>43700</v>
      </c>
      <c r="J435" s="6">
        <v>0.6872569444444444</v>
      </c>
      <c r="K435" s="5">
        <v>43705</v>
      </c>
      <c r="L435" s="4" t="s">
        <v>2256</v>
      </c>
      <c r="M435" s="4"/>
      <c r="N435" s="4" t="s">
        <v>450</v>
      </c>
      <c r="O435" s="4" t="s">
        <v>451</v>
      </c>
      <c r="P435" s="4" t="s">
        <v>2315</v>
      </c>
      <c r="Q435" s="4" t="s">
        <v>4</v>
      </c>
      <c r="R435" s="4" t="s">
        <v>4</v>
      </c>
      <c r="S435" s="4" t="s">
        <v>4</v>
      </c>
      <c r="T435" s="4"/>
      <c r="U435" s="4"/>
      <c r="V435" s="4"/>
      <c r="W435" s="4" t="s">
        <v>2258</v>
      </c>
      <c r="X435" s="4" t="s">
        <v>1068</v>
      </c>
      <c r="Y435" s="4" t="s">
        <v>1068</v>
      </c>
      <c r="Z435" s="4" t="s">
        <v>1539</v>
      </c>
      <c r="AA435" s="4" t="s">
        <v>2350</v>
      </c>
      <c r="AB435" s="4" t="s">
        <v>2351</v>
      </c>
      <c r="AC435" s="4" t="s">
        <v>2352</v>
      </c>
      <c r="AD435" s="4" t="s">
        <v>17</v>
      </c>
      <c r="AE435" s="4" t="s">
        <v>17</v>
      </c>
      <c r="AF435" s="4" t="s">
        <v>19</v>
      </c>
      <c r="AG435" s="4" t="s">
        <v>19</v>
      </c>
      <c r="AH435" s="4" t="s">
        <v>2351</v>
      </c>
    </row>
    <row r="436" spans="2:34" ht="15">
      <c r="B436" s="1" t="s">
        <v>1518</v>
      </c>
      <c r="C436" s="2">
        <v>43706</v>
      </c>
      <c r="D436" s="1" t="s">
        <v>21</v>
      </c>
      <c r="E436" s="1" t="s">
        <v>2308</v>
      </c>
      <c r="F436" s="1" t="s">
        <v>3</v>
      </c>
      <c r="G436" s="1" t="s">
        <v>85</v>
      </c>
      <c r="H436" s="1" t="s">
        <v>23</v>
      </c>
      <c r="I436" s="2">
        <v>43699</v>
      </c>
      <c r="J436" s="3">
        <v>0.3333333333333333</v>
      </c>
      <c r="K436" s="2">
        <v>43706</v>
      </c>
      <c r="L436" s="1" t="s">
        <v>2256</v>
      </c>
      <c r="M436" s="1"/>
      <c r="N436" s="1"/>
      <c r="O436" s="1" t="s">
        <v>2309</v>
      </c>
      <c r="P436" s="1" t="s">
        <v>2310</v>
      </c>
      <c r="Q436" s="1" t="s">
        <v>4</v>
      </c>
      <c r="R436" s="1" t="s">
        <v>85</v>
      </c>
      <c r="S436" s="1" t="s">
        <v>85</v>
      </c>
      <c r="T436" s="1"/>
      <c r="U436" s="1"/>
      <c r="V436" s="1"/>
      <c r="W436" s="1" t="s">
        <v>1963</v>
      </c>
      <c r="X436" s="1" t="s">
        <v>2311</v>
      </c>
      <c r="Y436" s="1" t="s">
        <v>2311</v>
      </c>
      <c r="Z436" s="1" t="s">
        <v>2312</v>
      </c>
      <c r="AA436" s="1" t="s">
        <v>2313</v>
      </c>
      <c r="AB436" s="1" t="s">
        <v>2313</v>
      </c>
      <c r="AC436" s="1" t="s">
        <v>17</v>
      </c>
      <c r="AD436" s="1" t="s">
        <v>17</v>
      </c>
      <c r="AE436" s="1" t="s">
        <v>17</v>
      </c>
      <c r="AF436" s="1" t="s">
        <v>19</v>
      </c>
      <c r="AG436" s="1" t="s">
        <v>19</v>
      </c>
      <c r="AH436" s="1" t="s">
        <v>2313</v>
      </c>
    </row>
    <row r="437" spans="2:34" ht="15">
      <c r="B437" s="4" t="s">
        <v>1518</v>
      </c>
      <c r="C437" s="5">
        <v>43706</v>
      </c>
      <c r="D437" s="4" t="s">
        <v>21</v>
      </c>
      <c r="E437" s="4" t="s">
        <v>2345</v>
      </c>
      <c r="F437" s="4" t="s">
        <v>3</v>
      </c>
      <c r="G437" s="4" t="s">
        <v>4</v>
      </c>
      <c r="H437" s="4" t="s">
        <v>23</v>
      </c>
      <c r="I437" s="5">
        <v>43699</v>
      </c>
      <c r="J437" s="6">
        <v>0.3333333333333333</v>
      </c>
      <c r="K437" s="5">
        <v>43706</v>
      </c>
      <c r="L437" s="4" t="s">
        <v>2256</v>
      </c>
      <c r="M437" s="4"/>
      <c r="N437" s="4" t="s">
        <v>2353</v>
      </c>
      <c r="O437" s="4" t="s">
        <v>2309</v>
      </c>
      <c r="P437" s="4" t="s">
        <v>2310</v>
      </c>
      <c r="Q437" s="4" t="s">
        <v>4</v>
      </c>
      <c r="R437" s="4" t="s">
        <v>85</v>
      </c>
      <c r="S437" s="4" t="s">
        <v>4</v>
      </c>
      <c r="T437" s="4"/>
      <c r="U437" s="4"/>
      <c r="V437" s="4"/>
      <c r="W437" s="4" t="s">
        <v>1963</v>
      </c>
      <c r="X437" s="4" t="s">
        <v>2311</v>
      </c>
      <c r="Y437" s="4" t="s">
        <v>2311</v>
      </c>
      <c r="Z437" s="4" t="s">
        <v>2312</v>
      </c>
      <c r="AA437" s="4" t="s">
        <v>2313</v>
      </c>
      <c r="AB437" s="4" t="s">
        <v>2313</v>
      </c>
      <c r="AC437" s="4" t="s">
        <v>17</v>
      </c>
      <c r="AD437" s="4" t="s">
        <v>17</v>
      </c>
      <c r="AE437" s="4" t="s">
        <v>17</v>
      </c>
      <c r="AF437" s="4" t="s">
        <v>19</v>
      </c>
      <c r="AG437" s="4" t="s">
        <v>19</v>
      </c>
      <c r="AH437" s="4" t="s">
        <v>2313</v>
      </c>
    </row>
    <row r="438" spans="2:34" ht="15">
      <c r="B438" s="1" t="s">
        <v>1518</v>
      </c>
      <c r="C438" s="2">
        <v>43706</v>
      </c>
      <c r="D438" s="1" t="s">
        <v>21</v>
      </c>
      <c r="E438" s="1" t="s">
        <v>2354</v>
      </c>
      <c r="F438" s="1" t="s">
        <v>3</v>
      </c>
      <c r="G438" s="1" t="s">
        <v>4</v>
      </c>
      <c r="H438" s="1" t="s">
        <v>632</v>
      </c>
      <c r="I438" s="2">
        <v>43706</v>
      </c>
      <c r="J438" s="3">
        <v>0.4084027777777778</v>
      </c>
      <c r="K438" s="2">
        <v>43710</v>
      </c>
      <c r="L438" s="1" t="s">
        <v>2256</v>
      </c>
      <c r="M438" s="1"/>
      <c r="N438" s="1" t="s">
        <v>110</v>
      </c>
      <c r="O438" s="1" t="s">
        <v>111</v>
      </c>
      <c r="P438" s="1" t="s">
        <v>2355</v>
      </c>
      <c r="Q438" s="1" t="s">
        <v>4</v>
      </c>
      <c r="R438" s="1" t="s">
        <v>4</v>
      </c>
      <c r="S438" s="1" t="s">
        <v>10</v>
      </c>
      <c r="T438" s="1"/>
      <c r="U438" s="1"/>
      <c r="V438" s="1"/>
      <c r="W438" s="1" t="s">
        <v>2258</v>
      </c>
      <c r="X438" s="1" t="s">
        <v>2356</v>
      </c>
      <c r="Y438" s="1" t="s">
        <v>2356</v>
      </c>
      <c r="Z438" s="1" t="s">
        <v>2357</v>
      </c>
      <c r="AA438" s="1" t="s">
        <v>2358</v>
      </c>
      <c r="AB438" s="1" t="s">
        <v>2359</v>
      </c>
      <c r="AC438" s="1" t="s">
        <v>2360</v>
      </c>
      <c r="AD438" s="1" t="s">
        <v>17</v>
      </c>
      <c r="AE438" s="1" t="s">
        <v>18</v>
      </c>
      <c r="AF438" s="1" t="s">
        <v>19</v>
      </c>
      <c r="AG438" s="1" t="s">
        <v>19</v>
      </c>
      <c r="AH438" s="1" t="s">
        <v>2359</v>
      </c>
    </row>
    <row r="439" spans="2:34" ht="15">
      <c r="B439" s="4" t="s">
        <v>1524</v>
      </c>
      <c r="C439" s="5">
        <v>43706</v>
      </c>
      <c r="D439" s="4" t="s">
        <v>1</v>
      </c>
      <c r="E439" s="4" t="s">
        <v>2361</v>
      </c>
      <c r="F439" s="4" t="s">
        <v>3</v>
      </c>
      <c r="G439" s="4" t="s">
        <v>4</v>
      </c>
      <c r="H439" s="4" t="s">
        <v>632</v>
      </c>
      <c r="I439" s="5">
        <v>43705</v>
      </c>
      <c r="J439" s="6">
        <v>0.6909259259259259</v>
      </c>
      <c r="K439" s="5">
        <v>43707</v>
      </c>
      <c r="L439" s="4" t="s">
        <v>2256</v>
      </c>
      <c r="M439" s="4"/>
      <c r="N439" s="4" t="s">
        <v>316</v>
      </c>
      <c r="O439" s="4" t="s">
        <v>317</v>
      </c>
      <c r="P439" s="4" t="s">
        <v>2362</v>
      </c>
      <c r="Q439" s="4" t="s">
        <v>4</v>
      </c>
      <c r="R439" s="4" t="s">
        <v>4</v>
      </c>
      <c r="S439" s="4" t="s">
        <v>10</v>
      </c>
      <c r="T439" s="4"/>
      <c r="U439" s="4"/>
      <c r="V439" s="4"/>
      <c r="W439" s="4" t="s">
        <v>1963</v>
      </c>
      <c r="X439" s="4" t="s">
        <v>2363</v>
      </c>
      <c r="Y439" s="4" t="s">
        <v>2363</v>
      </c>
      <c r="Z439" s="4" t="s">
        <v>2074</v>
      </c>
      <c r="AA439" s="4" t="s">
        <v>2364</v>
      </c>
      <c r="AB439" s="4" t="s">
        <v>2365</v>
      </c>
      <c r="AC439" s="4" t="s">
        <v>2366</v>
      </c>
      <c r="AD439" s="4" t="s">
        <v>17</v>
      </c>
      <c r="AE439" s="4" t="s">
        <v>2367</v>
      </c>
      <c r="AF439" s="4" t="s">
        <v>19</v>
      </c>
      <c r="AG439" s="4" t="s">
        <v>19</v>
      </c>
      <c r="AH439" s="4" t="s">
        <v>2365</v>
      </c>
    </row>
    <row r="440" spans="2:34" ht="15">
      <c r="B440" s="1" t="s">
        <v>153</v>
      </c>
      <c r="C440" s="2">
        <v>43706</v>
      </c>
      <c r="D440" s="1" t="s">
        <v>154</v>
      </c>
      <c r="E440" s="1" t="s">
        <v>2321</v>
      </c>
      <c r="F440" s="1" t="s">
        <v>3</v>
      </c>
      <c r="G440" s="1" t="s">
        <v>85</v>
      </c>
      <c r="H440" s="1" t="s">
        <v>23</v>
      </c>
      <c r="I440" s="2">
        <v>43699</v>
      </c>
      <c r="J440" s="3">
        <v>0.3333333333333333</v>
      </c>
      <c r="K440" s="2">
        <v>43706</v>
      </c>
      <c r="L440" s="1" t="s">
        <v>2256</v>
      </c>
      <c r="M440" s="1"/>
      <c r="N440" s="1"/>
      <c r="O440" s="1" t="s">
        <v>2309</v>
      </c>
      <c r="P440" s="1" t="s">
        <v>2310</v>
      </c>
      <c r="Q440" s="1" t="s">
        <v>4</v>
      </c>
      <c r="R440" s="1" t="s">
        <v>85</v>
      </c>
      <c r="S440" s="1" t="s">
        <v>85</v>
      </c>
      <c r="T440" s="1"/>
      <c r="U440" s="1"/>
      <c r="V440" s="1"/>
      <c r="W440" s="1" t="s">
        <v>1963</v>
      </c>
      <c r="X440" s="1" t="s">
        <v>2322</v>
      </c>
      <c r="Y440" s="1" t="s">
        <v>2322</v>
      </c>
      <c r="Z440" s="1" t="s">
        <v>2312</v>
      </c>
      <c r="AA440" s="1" t="s">
        <v>2323</v>
      </c>
      <c r="AB440" s="1" t="s">
        <v>2323</v>
      </c>
      <c r="AC440" s="1" t="s">
        <v>17</v>
      </c>
      <c r="AD440" s="1" t="s">
        <v>17</v>
      </c>
      <c r="AE440" s="1" t="s">
        <v>17</v>
      </c>
      <c r="AF440" s="1" t="s">
        <v>19</v>
      </c>
      <c r="AG440" s="1" t="s">
        <v>19</v>
      </c>
      <c r="AH440" s="1" t="s">
        <v>2323</v>
      </c>
    </row>
    <row r="441" spans="2:34" ht="15">
      <c r="B441" s="4" t="s">
        <v>153</v>
      </c>
      <c r="C441" s="5">
        <v>43706</v>
      </c>
      <c r="D441" s="4" t="s">
        <v>154</v>
      </c>
      <c r="E441" s="4" t="s">
        <v>2349</v>
      </c>
      <c r="F441" s="4" t="s">
        <v>3</v>
      </c>
      <c r="G441" s="4" t="s">
        <v>4</v>
      </c>
      <c r="H441" s="4" t="s">
        <v>23</v>
      </c>
      <c r="I441" s="5">
        <v>43699</v>
      </c>
      <c r="J441" s="6">
        <v>0.3333333333333333</v>
      </c>
      <c r="K441" s="5">
        <v>43706</v>
      </c>
      <c r="L441" s="4" t="s">
        <v>2256</v>
      </c>
      <c r="M441" s="4"/>
      <c r="N441" s="4" t="s">
        <v>2353</v>
      </c>
      <c r="O441" s="4" t="s">
        <v>2309</v>
      </c>
      <c r="P441" s="4" t="s">
        <v>2310</v>
      </c>
      <c r="Q441" s="4" t="s">
        <v>4</v>
      </c>
      <c r="R441" s="4" t="s">
        <v>85</v>
      </c>
      <c r="S441" s="4" t="s">
        <v>4</v>
      </c>
      <c r="T441" s="4"/>
      <c r="U441" s="4"/>
      <c r="V441" s="4"/>
      <c r="W441" s="4" t="s">
        <v>1963</v>
      </c>
      <c r="X441" s="4" t="s">
        <v>2322</v>
      </c>
      <c r="Y441" s="4" t="s">
        <v>2322</v>
      </c>
      <c r="Z441" s="4" t="s">
        <v>2312</v>
      </c>
      <c r="AA441" s="4" t="s">
        <v>2323</v>
      </c>
      <c r="AB441" s="4" t="s">
        <v>2323</v>
      </c>
      <c r="AC441" s="4" t="s">
        <v>17</v>
      </c>
      <c r="AD441" s="4" t="s">
        <v>17</v>
      </c>
      <c r="AE441" s="4" t="s">
        <v>17</v>
      </c>
      <c r="AF441" s="4" t="s">
        <v>19</v>
      </c>
      <c r="AG441" s="4" t="s">
        <v>19</v>
      </c>
      <c r="AH441" s="4" t="s">
        <v>2323</v>
      </c>
    </row>
    <row r="442" spans="2:34" ht="15">
      <c r="B442" s="1" t="s">
        <v>1518</v>
      </c>
      <c r="C442" s="2">
        <v>43707</v>
      </c>
      <c r="D442" s="1" t="s">
        <v>21</v>
      </c>
      <c r="E442" s="1" t="s">
        <v>2354</v>
      </c>
      <c r="F442" s="1" t="s">
        <v>3</v>
      </c>
      <c r="G442" s="1" t="s">
        <v>85</v>
      </c>
      <c r="H442" s="1" t="s">
        <v>632</v>
      </c>
      <c r="I442" s="2">
        <v>43706</v>
      </c>
      <c r="J442" s="3">
        <v>0.4084027777777778</v>
      </c>
      <c r="K442" s="2">
        <v>43710</v>
      </c>
      <c r="L442" s="1" t="s">
        <v>2256</v>
      </c>
      <c r="M442" s="1"/>
      <c r="N442" s="1" t="s">
        <v>110</v>
      </c>
      <c r="O442" s="1" t="s">
        <v>111</v>
      </c>
      <c r="P442" s="1" t="s">
        <v>2355</v>
      </c>
      <c r="Q442" s="1" t="s">
        <v>4</v>
      </c>
      <c r="R442" s="1" t="s">
        <v>4</v>
      </c>
      <c r="S442" s="1" t="s">
        <v>10</v>
      </c>
      <c r="T442" s="1"/>
      <c r="U442" s="1"/>
      <c r="V442" s="1"/>
      <c r="W442" s="1" t="s">
        <v>2258</v>
      </c>
      <c r="X442" s="1" t="s">
        <v>2356</v>
      </c>
      <c r="Y442" s="1" t="s">
        <v>2356</v>
      </c>
      <c r="Z442" s="1" t="s">
        <v>2357</v>
      </c>
      <c r="AA442" s="1" t="s">
        <v>2358</v>
      </c>
      <c r="AB442" s="1" t="s">
        <v>2359</v>
      </c>
      <c r="AC442" s="1" t="s">
        <v>2360</v>
      </c>
      <c r="AD442" s="1" t="s">
        <v>17</v>
      </c>
      <c r="AE442" s="1" t="s">
        <v>18</v>
      </c>
      <c r="AF442" s="1" t="s">
        <v>19</v>
      </c>
      <c r="AG442" s="1" t="s">
        <v>19</v>
      </c>
      <c r="AH442" s="1" t="s">
        <v>2359</v>
      </c>
    </row>
    <row r="443" spans="2:34" ht="15">
      <c r="B443" s="7" t="s">
        <v>1518</v>
      </c>
      <c r="C443" s="8">
        <v>43707</v>
      </c>
      <c r="D443" s="7" t="s">
        <v>21</v>
      </c>
      <c r="E443" s="7" t="s">
        <v>2368</v>
      </c>
      <c r="F443" s="7" t="s">
        <v>3</v>
      </c>
      <c r="G443" s="7" t="s">
        <v>4</v>
      </c>
      <c r="H443" s="7" t="s">
        <v>632</v>
      </c>
      <c r="I443" s="8">
        <v>43705</v>
      </c>
      <c r="J443" s="9">
        <v>0.6881828703703704</v>
      </c>
      <c r="K443" s="8">
        <v>43707</v>
      </c>
      <c r="L443" s="7" t="s">
        <v>2256</v>
      </c>
      <c r="M443" s="7"/>
      <c r="N443" s="7" t="s">
        <v>110</v>
      </c>
      <c r="O443" s="7" t="s">
        <v>111</v>
      </c>
      <c r="P443" s="7" t="s">
        <v>2355</v>
      </c>
      <c r="Q443" s="7" t="s">
        <v>4</v>
      </c>
      <c r="R443" s="7" t="s">
        <v>4</v>
      </c>
      <c r="S443" s="7" t="s">
        <v>10</v>
      </c>
      <c r="T443" s="7"/>
      <c r="U443" s="7"/>
      <c r="V443" s="7"/>
      <c r="W443" s="7" t="s">
        <v>2258</v>
      </c>
      <c r="X443" s="7" t="s">
        <v>2356</v>
      </c>
      <c r="Y443" s="7" t="s">
        <v>2356</v>
      </c>
      <c r="Z443" s="7" t="s">
        <v>2357</v>
      </c>
      <c r="AA443" s="7" t="s">
        <v>2358</v>
      </c>
      <c r="AB443" s="7" t="s">
        <v>2359</v>
      </c>
      <c r="AC443" s="7" t="s">
        <v>2360</v>
      </c>
      <c r="AD443" s="7" t="s">
        <v>17</v>
      </c>
      <c r="AE443" s="7" t="s">
        <v>18</v>
      </c>
      <c r="AF443" s="7" t="s">
        <v>19</v>
      </c>
      <c r="AG443" s="7" t="s">
        <v>19</v>
      </c>
      <c r="AH443" s="7" t="s">
        <v>2359</v>
      </c>
    </row>
    <row r="444" spans="2:34" ht="15">
      <c r="B444" s="1" t="s">
        <v>1524</v>
      </c>
      <c r="C444" s="2">
        <v>43710</v>
      </c>
      <c r="D444" s="1" t="s">
        <v>1</v>
      </c>
      <c r="E444" s="1" t="s">
        <v>2369</v>
      </c>
      <c r="F444" s="1" t="s">
        <v>3</v>
      </c>
      <c r="G444" s="1" t="s">
        <v>4</v>
      </c>
      <c r="H444" s="1" t="s">
        <v>119</v>
      </c>
      <c r="I444" s="2"/>
      <c r="J444" s="3">
        <v>0.49144675925925924</v>
      </c>
      <c r="K444" s="2">
        <v>43533</v>
      </c>
      <c r="L444" s="1" t="s">
        <v>2256</v>
      </c>
      <c r="M444" s="1"/>
      <c r="N444" s="1" t="s">
        <v>450</v>
      </c>
      <c r="O444" s="1" t="s">
        <v>451</v>
      </c>
      <c r="P444" s="1" t="s">
        <v>2315</v>
      </c>
      <c r="Q444" s="1" t="s">
        <v>4</v>
      </c>
      <c r="R444" s="1" t="s">
        <v>4</v>
      </c>
      <c r="S444" s="1" t="s">
        <v>10</v>
      </c>
      <c r="T444" s="1"/>
      <c r="U444" s="1"/>
      <c r="V444" s="1"/>
      <c r="W444" s="1" t="s">
        <v>2258</v>
      </c>
      <c r="X444" s="1" t="s">
        <v>839</v>
      </c>
      <c r="Y444" s="1" t="s">
        <v>839</v>
      </c>
      <c r="Z444" s="1" t="s">
        <v>2370</v>
      </c>
      <c r="AA444" s="1" t="s">
        <v>2371</v>
      </c>
      <c r="AB444" s="1" t="s">
        <v>2372</v>
      </c>
      <c r="AC444" s="1" t="s">
        <v>1112</v>
      </c>
      <c r="AD444" s="1" t="s">
        <v>17</v>
      </c>
      <c r="AE444" s="1" t="s">
        <v>17</v>
      </c>
      <c r="AF444" s="1" t="s">
        <v>19</v>
      </c>
      <c r="AG444" s="1" t="s">
        <v>19</v>
      </c>
      <c r="AH444" s="1" t="s">
        <v>2372</v>
      </c>
    </row>
    <row r="445" spans="2:34" ht="15">
      <c r="B445" s="4" t="s">
        <v>1524</v>
      </c>
      <c r="C445" s="5">
        <v>43712</v>
      </c>
      <c r="D445" s="4" t="s">
        <v>1</v>
      </c>
      <c r="E445" s="4" t="s">
        <v>2373</v>
      </c>
      <c r="F445" s="4" t="s">
        <v>3</v>
      </c>
      <c r="G445" s="4" t="s">
        <v>4</v>
      </c>
      <c r="H445" s="4" t="s">
        <v>914</v>
      </c>
      <c r="I445" s="5">
        <v>43711</v>
      </c>
      <c r="J445" s="6">
        <v>0.5238078703703704</v>
      </c>
      <c r="K445" s="5">
        <v>43713</v>
      </c>
      <c r="L445" s="4" t="s">
        <v>2256</v>
      </c>
      <c r="M445" s="4"/>
      <c r="N445" s="4" t="s">
        <v>156</v>
      </c>
      <c r="O445" s="4" t="s">
        <v>157</v>
      </c>
      <c r="P445" s="4" t="s">
        <v>2325</v>
      </c>
      <c r="Q445" s="4" t="s">
        <v>4</v>
      </c>
      <c r="R445" s="4" t="s">
        <v>4</v>
      </c>
      <c r="S445" s="4" t="s">
        <v>10</v>
      </c>
      <c r="T445" s="4"/>
      <c r="U445" s="4"/>
      <c r="V445" s="4"/>
      <c r="W445" s="4" t="s">
        <v>1963</v>
      </c>
      <c r="X445" s="4" t="s">
        <v>2374</v>
      </c>
      <c r="Y445" s="4" t="s">
        <v>2374</v>
      </c>
      <c r="Z445" s="4" t="s">
        <v>2375</v>
      </c>
      <c r="AA445" s="4" t="s">
        <v>2376</v>
      </c>
      <c r="AB445" s="4" t="s">
        <v>2377</v>
      </c>
      <c r="AC445" s="4" t="s">
        <v>2378</v>
      </c>
      <c r="AD445" s="4" t="s">
        <v>17</v>
      </c>
      <c r="AE445" s="4" t="s">
        <v>18</v>
      </c>
      <c r="AF445" s="4" t="s">
        <v>19</v>
      </c>
      <c r="AG445" s="4" t="s">
        <v>19</v>
      </c>
      <c r="AH445" s="4" t="s">
        <v>2377</v>
      </c>
    </row>
    <row r="446" spans="2:34" ht="15">
      <c r="B446" s="1" t="s">
        <v>1524</v>
      </c>
      <c r="C446" s="2">
        <v>43712</v>
      </c>
      <c r="D446" s="1" t="s">
        <v>1</v>
      </c>
      <c r="E446" s="1" t="s">
        <v>2379</v>
      </c>
      <c r="F446" s="1" t="s">
        <v>3</v>
      </c>
      <c r="G446" s="1" t="s">
        <v>4</v>
      </c>
      <c r="H446" s="1" t="s">
        <v>119</v>
      </c>
      <c r="I446" s="2">
        <v>43711</v>
      </c>
      <c r="J446" s="3">
        <v>0.6399074074074074</v>
      </c>
      <c r="K446" s="2">
        <v>43713</v>
      </c>
      <c r="L446" s="1" t="s">
        <v>2256</v>
      </c>
      <c r="M446" s="1"/>
      <c r="N446" s="1" t="s">
        <v>204</v>
      </c>
      <c r="O446" s="1" t="s">
        <v>205</v>
      </c>
      <c r="P446" s="1" t="s">
        <v>2380</v>
      </c>
      <c r="Q446" s="1" t="s">
        <v>4</v>
      </c>
      <c r="R446" s="1" t="s">
        <v>4</v>
      </c>
      <c r="S446" s="1" t="s">
        <v>10</v>
      </c>
      <c r="T446" s="1"/>
      <c r="U446" s="1"/>
      <c r="V446" s="1"/>
      <c r="W446" s="1" t="s">
        <v>1963</v>
      </c>
      <c r="X446" s="1" t="s">
        <v>2381</v>
      </c>
      <c r="Y446" s="1" t="s">
        <v>2381</v>
      </c>
      <c r="Z446" s="1" t="s">
        <v>2382</v>
      </c>
      <c r="AA446" s="1" t="s">
        <v>2383</v>
      </c>
      <c r="AB446" s="1" t="s">
        <v>2384</v>
      </c>
      <c r="AC446" s="1" t="s">
        <v>2385</v>
      </c>
      <c r="AD446" s="1" t="s">
        <v>17</v>
      </c>
      <c r="AE446" s="1" t="s">
        <v>2386</v>
      </c>
      <c r="AF446" s="1" t="s">
        <v>19</v>
      </c>
      <c r="AG446" s="1" t="s">
        <v>19</v>
      </c>
      <c r="AH446" s="1" t="s">
        <v>2384</v>
      </c>
    </row>
    <row r="447" spans="2:34" ht="15">
      <c r="B447" s="4" t="s">
        <v>153</v>
      </c>
      <c r="C447" s="5">
        <v>43712</v>
      </c>
      <c r="D447" s="4" t="s">
        <v>154</v>
      </c>
      <c r="E447" s="4" t="s">
        <v>2387</v>
      </c>
      <c r="F447" s="4" t="s">
        <v>3</v>
      </c>
      <c r="G447" s="4" t="s">
        <v>4</v>
      </c>
      <c r="H447" s="4" t="s">
        <v>2388</v>
      </c>
      <c r="I447" s="5">
        <v>43711</v>
      </c>
      <c r="J447" s="6">
        <v>0.46797453703703706</v>
      </c>
      <c r="K447" s="5">
        <v>43713</v>
      </c>
      <c r="L447" s="4" t="s">
        <v>2256</v>
      </c>
      <c r="M447" s="4"/>
      <c r="N447" s="4" t="s">
        <v>232</v>
      </c>
      <c r="O447" s="4" t="s">
        <v>233</v>
      </c>
      <c r="P447" s="4" t="s">
        <v>2389</v>
      </c>
      <c r="Q447" s="4" t="s">
        <v>4</v>
      </c>
      <c r="R447" s="4" t="s">
        <v>4</v>
      </c>
      <c r="S447" s="4" t="s">
        <v>10</v>
      </c>
      <c r="T447" s="4"/>
      <c r="U447" s="4"/>
      <c r="V447" s="4"/>
      <c r="W447" s="4" t="s">
        <v>2258</v>
      </c>
      <c r="X447" s="4" t="s">
        <v>714</v>
      </c>
      <c r="Y447" s="4" t="s">
        <v>714</v>
      </c>
      <c r="Z447" s="4" t="s">
        <v>2390</v>
      </c>
      <c r="AA447" s="4" t="s">
        <v>2391</v>
      </c>
      <c r="AB447" s="4" t="s">
        <v>2392</v>
      </c>
      <c r="AC447" s="4" t="s">
        <v>2393</v>
      </c>
      <c r="AD447" s="4" t="s">
        <v>17</v>
      </c>
      <c r="AE447" s="4" t="s">
        <v>18</v>
      </c>
      <c r="AF447" s="4" t="s">
        <v>19</v>
      </c>
      <c r="AG447" s="4" t="s">
        <v>19</v>
      </c>
      <c r="AH447" s="4" t="s">
        <v>2392</v>
      </c>
    </row>
    <row r="448" spans="2:34" ht="15">
      <c r="B448" s="1" t="s">
        <v>1524</v>
      </c>
      <c r="C448" s="2">
        <v>43713</v>
      </c>
      <c r="D448" s="1" t="s">
        <v>1</v>
      </c>
      <c r="E448" s="1" t="s">
        <v>2394</v>
      </c>
      <c r="F448" s="1" t="s">
        <v>3</v>
      </c>
      <c r="G448" s="1" t="s">
        <v>4</v>
      </c>
      <c r="H448" s="1" t="s">
        <v>119</v>
      </c>
      <c r="I448" s="2">
        <v>43712</v>
      </c>
      <c r="J448" s="3">
        <v>0.611712962962963</v>
      </c>
      <c r="K448" s="2">
        <v>43714</v>
      </c>
      <c r="L448" s="1" t="s">
        <v>2256</v>
      </c>
      <c r="M448" s="1"/>
      <c r="N448" s="1" t="s">
        <v>278</v>
      </c>
      <c r="O448" s="1" t="s">
        <v>279</v>
      </c>
      <c r="P448" s="1" t="s">
        <v>2395</v>
      </c>
      <c r="Q448" s="1" t="s">
        <v>4</v>
      </c>
      <c r="R448" s="1" t="s">
        <v>4</v>
      </c>
      <c r="S448" s="1" t="s">
        <v>10</v>
      </c>
      <c r="T448" s="1"/>
      <c r="U448" s="1"/>
      <c r="V448" s="1"/>
      <c r="W448" s="1" t="s">
        <v>1963</v>
      </c>
      <c r="X448" s="1" t="s">
        <v>2396</v>
      </c>
      <c r="Y448" s="1" t="s">
        <v>2396</v>
      </c>
      <c r="Z448" s="1" t="s">
        <v>2397</v>
      </c>
      <c r="AA448" s="1" t="s">
        <v>2398</v>
      </c>
      <c r="AB448" s="1" t="s">
        <v>2399</v>
      </c>
      <c r="AC448" s="1" t="s">
        <v>2400</v>
      </c>
      <c r="AD448" s="1" t="s">
        <v>17</v>
      </c>
      <c r="AE448" s="1" t="s">
        <v>2401</v>
      </c>
      <c r="AF448" s="1" t="s">
        <v>19</v>
      </c>
      <c r="AG448" s="1" t="s">
        <v>19</v>
      </c>
      <c r="AH448" s="1" t="s">
        <v>2399</v>
      </c>
    </row>
    <row r="449" spans="2:34" ht="15">
      <c r="B449" s="4" t="s">
        <v>153</v>
      </c>
      <c r="C449" s="5">
        <v>43714</v>
      </c>
      <c r="D449" s="4" t="s">
        <v>154</v>
      </c>
      <c r="E449" s="4" t="s">
        <v>2402</v>
      </c>
      <c r="F449" s="4" t="s">
        <v>3</v>
      </c>
      <c r="G449" s="4" t="s">
        <v>4</v>
      </c>
      <c r="H449" s="4" t="s">
        <v>2266</v>
      </c>
      <c r="I449" s="5">
        <v>43714</v>
      </c>
      <c r="J449" s="6">
        <v>0.38761574074074073</v>
      </c>
      <c r="K449" s="5">
        <v>43718</v>
      </c>
      <c r="L449" s="4" t="s">
        <v>2256</v>
      </c>
      <c r="M449" s="4"/>
      <c r="N449" s="4" t="s">
        <v>260</v>
      </c>
      <c r="O449" s="4" t="s">
        <v>261</v>
      </c>
      <c r="P449" s="4" t="s">
        <v>2403</v>
      </c>
      <c r="Q449" s="4" t="s">
        <v>4</v>
      </c>
      <c r="R449" s="4" t="s">
        <v>4</v>
      </c>
      <c r="S449" s="4" t="s">
        <v>10</v>
      </c>
      <c r="T449" s="4"/>
      <c r="U449" s="4"/>
      <c r="V449" s="4"/>
      <c r="W449" s="4" t="s">
        <v>2258</v>
      </c>
      <c r="X449" s="4" t="s">
        <v>2404</v>
      </c>
      <c r="Y449" s="4" t="s">
        <v>2404</v>
      </c>
      <c r="Z449" s="4" t="s">
        <v>2405</v>
      </c>
      <c r="AA449" s="4" t="s">
        <v>2406</v>
      </c>
      <c r="AB449" s="4" t="s">
        <v>2407</v>
      </c>
      <c r="AC449" s="4" t="s">
        <v>2408</v>
      </c>
      <c r="AD449" s="4" t="s">
        <v>17</v>
      </c>
      <c r="AE449" s="4" t="s">
        <v>18</v>
      </c>
      <c r="AF449" s="4" t="s">
        <v>19</v>
      </c>
      <c r="AG449" s="4" t="s">
        <v>19</v>
      </c>
      <c r="AH449" s="4" t="s">
        <v>2407</v>
      </c>
    </row>
    <row r="450" spans="2:34" ht="15">
      <c r="B450" s="1" t="s">
        <v>1518</v>
      </c>
      <c r="C450" s="2">
        <v>43717</v>
      </c>
      <c r="D450" s="1" t="s">
        <v>21</v>
      </c>
      <c r="E450" s="1"/>
      <c r="F450" s="1" t="s">
        <v>3</v>
      </c>
      <c r="G450" s="1" t="s">
        <v>4</v>
      </c>
      <c r="H450" s="1" t="s">
        <v>119</v>
      </c>
      <c r="I450" s="2">
        <v>43714</v>
      </c>
      <c r="J450" s="3">
        <v>0.5323032407407408</v>
      </c>
      <c r="K450" s="2">
        <v>43718</v>
      </c>
      <c r="L450" s="1" t="s">
        <v>2256</v>
      </c>
      <c r="M450" s="1"/>
      <c r="N450" s="1" t="s">
        <v>288</v>
      </c>
      <c r="O450" s="1" t="s">
        <v>289</v>
      </c>
      <c r="P450" s="1" t="s">
        <v>2274</v>
      </c>
      <c r="Q450" s="1" t="s">
        <v>4</v>
      </c>
      <c r="R450" s="1" t="s">
        <v>4</v>
      </c>
      <c r="S450" s="1" t="s">
        <v>10</v>
      </c>
      <c r="T450" s="1"/>
      <c r="U450" s="1"/>
      <c r="V450" s="1"/>
      <c r="W450" s="1" t="s">
        <v>2258</v>
      </c>
      <c r="X450" s="1" t="s">
        <v>2409</v>
      </c>
      <c r="Y450" s="1" t="s">
        <v>2409</v>
      </c>
      <c r="Z450" s="1" t="s">
        <v>2410</v>
      </c>
      <c r="AA450" s="1" t="s">
        <v>2411</v>
      </c>
      <c r="AB450" s="1" t="s">
        <v>2412</v>
      </c>
      <c r="AC450" s="1" t="s">
        <v>2413</v>
      </c>
      <c r="AD450" s="1" t="s">
        <v>17</v>
      </c>
      <c r="AE450" s="1" t="s">
        <v>18</v>
      </c>
      <c r="AF450" s="1" t="s">
        <v>19</v>
      </c>
      <c r="AG450" s="1" t="s">
        <v>19</v>
      </c>
      <c r="AH450" s="1" t="s">
        <v>2412</v>
      </c>
    </row>
    <row r="451" spans="2:34" ht="15">
      <c r="B451" s="4" t="s">
        <v>1518</v>
      </c>
      <c r="C451" s="5">
        <v>43717</v>
      </c>
      <c r="D451" s="4" t="s">
        <v>21</v>
      </c>
      <c r="E451" s="4"/>
      <c r="F451" s="4" t="s">
        <v>3</v>
      </c>
      <c r="G451" s="4" t="s">
        <v>4</v>
      </c>
      <c r="H451" s="4" t="s">
        <v>632</v>
      </c>
      <c r="I451" s="5">
        <v>43714</v>
      </c>
      <c r="J451" s="6">
        <v>0.6766550925925926</v>
      </c>
      <c r="K451" s="5">
        <v>43718</v>
      </c>
      <c r="L451" s="4" t="s">
        <v>2256</v>
      </c>
      <c r="M451" s="4"/>
      <c r="N451" s="4" t="s">
        <v>508</v>
      </c>
      <c r="O451" s="4" t="s">
        <v>509</v>
      </c>
      <c r="P451" s="4" t="s">
        <v>2414</v>
      </c>
      <c r="Q451" s="4" t="s">
        <v>4</v>
      </c>
      <c r="R451" s="4" t="s">
        <v>4</v>
      </c>
      <c r="S451" s="4" t="s">
        <v>10</v>
      </c>
      <c r="T451" s="4"/>
      <c r="U451" s="4"/>
      <c r="V451" s="4"/>
      <c r="W451" s="4" t="s">
        <v>2258</v>
      </c>
      <c r="X451" s="4" t="s">
        <v>2415</v>
      </c>
      <c r="Y451" s="4" t="s">
        <v>2415</v>
      </c>
      <c r="Z451" s="4" t="s">
        <v>2416</v>
      </c>
      <c r="AA451" s="4" t="s">
        <v>2417</v>
      </c>
      <c r="AB451" s="4" t="s">
        <v>2418</v>
      </c>
      <c r="AC451" s="4" t="s">
        <v>2419</v>
      </c>
      <c r="AD451" s="4" t="s">
        <v>17</v>
      </c>
      <c r="AE451" s="4" t="s">
        <v>18</v>
      </c>
      <c r="AF451" s="4" t="s">
        <v>19</v>
      </c>
      <c r="AG451" s="4" t="s">
        <v>19</v>
      </c>
      <c r="AH451" s="4" t="s">
        <v>2418</v>
      </c>
    </row>
    <row r="452" spans="2:34" ht="15">
      <c r="B452" s="1" t="s">
        <v>1524</v>
      </c>
      <c r="C452" s="2">
        <v>43717</v>
      </c>
      <c r="D452" s="1" t="s">
        <v>1</v>
      </c>
      <c r="E452" s="1"/>
      <c r="F452" s="1" t="s">
        <v>3</v>
      </c>
      <c r="G452" s="1" t="s">
        <v>4</v>
      </c>
      <c r="H452" s="1" t="s">
        <v>119</v>
      </c>
      <c r="I452" s="2">
        <v>43714</v>
      </c>
      <c r="J452" s="3">
        <v>0.5701273148148148</v>
      </c>
      <c r="K452" s="2">
        <v>43718</v>
      </c>
      <c r="L452" s="1" t="s">
        <v>2256</v>
      </c>
      <c r="M452" s="1"/>
      <c r="N452" s="1" t="s">
        <v>450</v>
      </c>
      <c r="O452" s="1" t="s">
        <v>451</v>
      </c>
      <c r="P452" s="1" t="s">
        <v>2315</v>
      </c>
      <c r="Q452" s="1" t="s">
        <v>4</v>
      </c>
      <c r="R452" s="1" t="s">
        <v>4</v>
      </c>
      <c r="S452" s="1" t="s">
        <v>10</v>
      </c>
      <c r="T452" s="1"/>
      <c r="U452" s="1"/>
      <c r="V452" s="1"/>
      <c r="W452" s="1" t="s">
        <v>2258</v>
      </c>
      <c r="X452" s="1" t="s">
        <v>2420</v>
      </c>
      <c r="Y452" s="1" t="s">
        <v>2420</v>
      </c>
      <c r="Z452" s="1" t="s">
        <v>2421</v>
      </c>
      <c r="AA452" s="1" t="s">
        <v>2422</v>
      </c>
      <c r="AB452" s="1" t="s">
        <v>2423</v>
      </c>
      <c r="AC452" s="1" t="s">
        <v>2424</v>
      </c>
      <c r="AD452" s="1" t="s">
        <v>17</v>
      </c>
      <c r="AE452" s="1" t="s">
        <v>18</v>
      </c>
      <c r="AF452" s="1" t="s">
        <v>19</v>
      </c>
      <c r="AG452" s="1" t="s">
        <v>19</v>
      </c>
      <c r="AH452" s="1" t="s">
        <v>2423</v>
      </c>
    </row>
    <row r="453" spans="2:34" ht="15">
      <c r="B453" s="4" t="s">
        <v>1518</v>
      </c>
      <c r="C453" s="5">
        <v>43718</v>
      </c>
      <c r="D453" s="4" t="s">
        <v>21</v>
      </c>
      <c r="E453" s="4" t="s">
        <v>2425</v>
      </c>
      <c r="F453" s="4" t="s">
        <v>3</v>
      </c>
      <c r="G453" s="4" t="s">
        <v>4</v>
      </c>
      <c r="H453" s="4" t="s">
        <v>23</v>
      </c>
      <c r="I453" s="5">
        <v>43718</v>
      </c>
      <c r="J453" s="6">
        <v>0.39939814814814817</v>
      </c>
      <c r="K453" s="5">
        <v>43720</v>
      </c>
      <c r="L453" s="4" t="s">
        <v>2256</v>
      </c>
      <c r="M453" s="4"/>
      <c r="N453" s="4" t="s">
        <v>2353</v>
      </c>
      <c r="O453" s="4" t="s">
        <v>2309</v>
      </c>
      <c r="P453" s="4" t="s">
        <v>2426</v>
      </c>
      <c r="Q453" s="4" t="s">
        <v>4</v>
      </c>
      <c r="R453" s="4" t="s">
        <v>4</v>
      </c>
      <c r="S453" s="4" t="s">
        <v>10</v>
      </c>
      <c r="T453" s="4"/>
      <c r="U453" s="4"/>
      <c r="V453" s="4"/>
      <c r="W453" s="4" t="s">
        <v>2258</v>
      </c>
      <c r="X453" s="4" t="s">
        <v>2427</v>
      </c>
      <c r="Y453" s="4" t="s">
        <v>2427</v>
      </c>
      <c r="Z453" s="4" t="s">
        <v>2428</v>
      </c>
      <c r="AA453" s="4" t="s">
        <v>2429</v>
      </c>
      <c r="AB453" s="4" t="s">
        <v>2430</v>
      </c>
      <c r="AC453" s="4" t="s">
        <v>2431</v>
      </c>
      <c r="AD453" s="4" t="s">
        <v>17</v>
      </c>
      <c r="AE453" s="4" t="s">
        <v>18</v>
      </c>
      <c r="AF453" s="4" t="s">
        <v>19</v>
      </c>
      <c r="AG453" s="4" t="s">
        <v>19</v>
      </c>
      <c r="AH453" s="4" t="s">
        <v>2430</v>
      </c>
    </row>
    <row r="454" spans="2:34" ht="15">
      <c r="B454" s="1" t="s">
        <v>153</v>
      </c>
      <c r="C454" s="2">
        <v>43718</v>
      </c>
      <c r="D454" s="1" t="s">
        <v>154</v>
      </c>
      <c r="E454" s="1" t="s">
        <v>2432</v>
      </c>
      <c r="F454" s="1" t="s">
        <v>3</v>
      </c>
      <c r="G454" s="1" t="s">
        <v>4</v>
      </c>
      <c r="H454" s="1" t="s">
        <v>119</v>
      </c>
      <c r="I454" s="2">
        <v>43717</v>
      </c>
      <c r="J454" s="3">
        <v>0.6730787037037037</v>
      </c>
      <c r="K454" s="2">
        <v>43719</v>
      </c>
      <c r="L454" s="1" t="s">
        <v>2256</v>
      </c>
      <c r="M454" s="1"/>
      <c r="N454" s="1" t="s">
        <v>204</v>
      </c>
      <c r="O454" s="1" t="s">
        <v>205</v>
      </c>
      <c r="P454" s="1" t="s">
        <v>2380</v>
      </c>
      <c r="Q454" s="1" t="s">
        <v>4</v>
      </c>
      <c r="R454" s="1" t="s">
        <v>4</v>
      </c>
      <c r="S454" s="1" t="s">
        <v>10</v>
      </c>
      <c r="T454" s="1"/>
      <c r="U454" s="1"/>
      <c r="V454" s="1"/>
      <c r="W454" s="1" t="s">
        <v>1963</v>
      </c>
      <c r="X454" s="1" t="s">
        <v>1170</v>
      </c>
      <c r="Y454" s="1" t="s">
        <v>1170</v>
      </c>
      <c r="Z454" s="1" t="s">
        <v>512</v>
      </c>
      <c r="AA454" s="1" t="s">
        <v>2433</v>
      </c>
      <c r="AB454" s="1" t="s">
        <v>2434</v>
      </c>
      <c r="AC454" s="1" t="s">
        <v>2435</v>
      </c>
      <c r="AD454" s="1" t="s">
        <v>17</v>
      </c>
      <c r="AE454" s="1" t="s">
        <v>2436</v>
      </c>
      <c r="AF454" s="1" t="s">
        <v>19</v>
      </c>
      <c r="AG454" s="1" t="s">
        <v>19</v>
      </c>
      <c r="AH454" s="1" t="s">
        <v>2434</v>
      </c>
    </row>
    <row r="455" spans="2:34" ht="15">
      <c r="B455" s="4" t="s">
        <v>153</v>
      </c>
      <c r="C455" s="5">
        <v>43718</v>
      </c>
      <c r="D455" s="4" t="s">
        <v>154</v>
      </c>
      <c r="E455" s="4" t="s">
        <v>2437</v>
      </c>
      <c r="F455" s="4" t="s">
        <v>3</v>
      </c>
      <c r="G455" s="4" t="s">
        <v>4</v>
      </c>
      <c r="H455" s="4" t="s">
        <v>23</v>
      </c>
      <c r="I455" s="5">
        <v>43718</v>
      </c>
      <c r="J455" s="6">
        <v>0.3994097222222222</v>
      </c>
      <c r="K455" s="5">
        <v>43720</v>
      </c>
      <c r="L455" s="4" t="s">
        <v>2256</v>
      </c>
      <c r="M455" s="4"/>
      <c r="N455" s="4" t="s">
        <v>2353</v>
      </c>
      <c r="O455" s="4" t="s">
        <v>2309</v>
      </c>
      <c r="P455" s="4" t="s">
        <v>2426</v>
      </c>
      <c r="Q455" s="4" t="s">
        <v>4</v>
      </c>
      <c r="R455" s="4" t="s">
        <v>4</v>
      </c>
      <c r="S455" s="4" t="s">
        <v>10</v>
      </c>
      <c r="T455" s="4"/>
      <c r="U455" s="4"/>
      <c r="V455" s="4"/>
      <c r="W455" s="4" t="s">
        <v>2258</v>
      </c>
      <c r="X455" s="4" t="s">
        <v>2438</v>
      </c>
      <c r="Y455" s="4" t="s">
        <v>2438</v>
      </c>
      <c r="Z455" s="4" t="s">
        <v>2428</v>
      </c>
      <c r="AA455" s="4" t="s">
        <v>2439</v>
      </c>
      <c r="AB455" s="4" t="s">
        <v>2440</v>
      </c>
      <c r="AC455" s="4" t="s">
        <v>347</v>
      </c>
      <c r="AD455" s="4" t="s">
        <v>17</v>
      </c>
      <c r="AE455" s="4" t="s">
        <v>17</v>
      </c>
      <c r="AF455" s="4" t="s">
        <v>19</v>
      </c>
      <c r="AG455" s="4" t="s">
        <v>19</v>
      </c>
      <c r="AH455" s="4" t="s">
        <v>2440</v>
      </c>
    </row>
    <row r="456" spans="2:34" ht="15">
      <c r="B456" s="1" t="s">
        <v>1518</v>
      </c>
      <c r="C456" s="2">
        <v>43720</v>
      </c>
      <c r="D456" s="1" t="s">
        <v>21</v>
      </c>
      <c r="E456" s="1" t="s">
        <v>2441</v>
      </c>
      <c r="F456" s="1" t="s">
        <v>3</v>
      </c>
      <c r="G456" s="1" t="s">
        <v>4</v>
      </c>
      <c r="H456" s="1" t="s">
        <v>2331</v>
      </c>
      <c r="I456" s="2">
        <v>43719</v>
      </c>
      <c r="J456" s="3">
        <v>0.6768402777777778</v>
      </c>
      <c r="K456" s="2">
        <v>43721</v>
      </c>
      <c r="L456" s="1" t="s">
        <v>2256</v>
      </c>
      <c r="M456" s="1"/>
      <c r="N456" s="1" t="s">
        <v>2353</v>
      </c>
      <c r="O456" s="1" t="s">
        <v>2309</v>
      </c>
      <c r="P456" s="1" t="s">
        <v>2426</v>
      </c>
      <c r="Q456" s="1" t="s">
        <v>4</v>
      </c>
      <c r="R456" s="1" t="s">
        <v>4</v>
      </c>
      <c r="S456" s="1" t="s">
        <v>10</v>
      </c>
      <c r="T456" s="1"/>
      <c r="U456" s="1"/>
      <c r="V456" s="1"/>
      <c r="W456" s="1" t="s">
        <v>2258</v>
      </c>
      <c r="X456" s="1" t="s">
        <v>2427</v>
      </c>
      <c r="Y456" s="1" t="s">
        <v>2427</v>
      </c>
      <c r="Z456" s="1" t="s">
        <v>2442</v>
      </c>
      <c r="AA456" s="1" t="s">
        <v>2443</v>
      </c>
      <c r="AB456" s="1" t="s">
        <v>2444</v>
      </c>
      <c r="AC456" s="1" t="s">
        <v>2445</v>
      </c>
      <c r="AD456" s="1" t="s">
        <v>17</v>
      </c>
      <c r="AE456" s="1" t="s">
        <v>17</v>
      </c>
      <c r="AF456" s="1" t="s">
        <v>19</v>
      </c>
      <c r="AG456" s="1" t="s">
        <v>19</v>
      </c>
      <c r="AH456" s="1" t="s">
        <v>2444</v>
      </c>
    </row>
    <row r="457" spans="2:34" ht="15">
      <c r="B457" s="4" t="s">
        <v>153</v>
      </c>
      <c r="C457" s="5">
        <v>43720</v>
      </c>
      <c r="D457" s="4" t="s">
        <v>154</v>
      </c>
      <c r="E457" s="4" t="s">
        <v>2446</v>
      </c>
      <c r="F457" s="4" t="s">
        <v>3</v>
      </c>
      <c r="G457" s="4" t="s">
        <v>4</v>
      </c>
      <c r="H457" s="4" t="s">
        <v>2331</v>
      </c>
      <c r="I457" s="5">
        <v>43719</v>
      </c>
      <c r="J457" s="6">
        <v>0.6768402777777778</v>
      </c>
      <c r="K457" s="5">
        <v>43721</v>
      </c>
      <c r="L457" s="4" t="s">
        <v>2256</v>
      </c>
      <c r="M457" s="4"/>
      <c r="N457" s="4" t="s">
        <v>2353</v>
      </c>
      <c r="O457" s="4" t="s">
        <v>2309</v>
      </c>
      <c r="P457" s="4" t="s">
        <v>2426</v>
      </c>
      <c r="Q457" s="4" t="s">
        <v>4</v>
      </c>
      <c r="R457" s="4" t="s">
        <v>4</v>
      </c>
      <c r="S457" s="4" t="s">
        <v>10</v>
      </c>
      <c r="T457" s="4"/>
      <c r="U457" s="4"/>
      <c r="V457" s="4"/>
      <c r="W457" s="4" t="s">
        <v>2258</v>
      </c>
      <c r="X457" s="4" t="s">
        <v>2438</v>
      </c>
      <c r="Y457" s="4" t="s">
        <v>2438</v>
      </c>
      <c r="Z457" s="4" t="s">
        <v>2442</v>
      </c>
      <c r="AA457" s="4" t="s">
        <v>2447</v>
      </c>
      <c r="AB457" s="4" t="s">
        <v>2448</v>
      </c>
      <c r="AC457" s="4" t="s">
        <v>2449</v>
      </c>
      <c r="AD457" s="4" t="s">
        <v>17</v>
      </c>
      <c r="AE457" s="4" t="s">
        <v>17</v>
      </c>
      <c r="AF457" s="4" t="s">
        <v>19</v>
      </c>
      <c r="AG457" s="4" t="s">
        <v>19</v>
      </c>
      <c r="AH457" s="4" t="s">
        <v>2448</v>
      </c>
    </row>
    <row r="458" spans="2:34" ht="15">
      <c r="B458" s="1" t="s">
        <v>1518</v>
      </c>
      <c r="C458" s="2">
        <v>43721</v>
      </c>
      <c r="D458" s="1" t="s">
        <v>21</v>
      </c>
      <c r="E458" s="1" t="s">
        <v>2441</v>
      </c>
      <c r="F458" s="1" t="s">
        <v>3</v>
      </c>
      <c r="G458" s="1" t="s">
        <v>85</v>
      </c>
      <c r="H458" s="1" t="s">
        <v>2331</v>
      </c>
      <c r="I458" s="2">
        <v>43719</v>
      </c>
      <c r="J458" s="3">
        <v>0.6768402777777778</v>
      </c>
      <c r="K458" s="2">
        <v>43721</v>
      </c>
      <c r="L458" s="1" t="s">
        <v>2256</v>
      </c>
      <c r="M458" s="1"/>
      <c r="N458" s="1" t="s">
        <v>2353</v>
      </c>
      <c r="O458" s="1" t="s">
        <v>2309</v>
      </c>
      <c r="P458" s="1" t="s">
        <v>2426</v>
      </c>
      <c r="Q458" s="1" t="s">
        <v>4</v>
      </c>
      <c r="R458" s="1" t="s">
        <v>4</v>
      </c>
      <c r="S458" s="1" t="s">
        <v>10</v>
      </c>
      <c r="T458" s="1"/>
      <c r="U458" s="1"/>
      <c r="V458" s="1"/>
      <c r="W458" s="1" t="s">
        <v>2258</v>
      </c>
      <c r="X458" s="1" t="s">
        <v>2427</v>
      </c>
      <c r="Y458" s="1" t="s">
        <v>2427</v>
      </c>
      <c r="Z458" s="1" t="s">
        <v>2442</v>
      </c>
      <c r="AA458" s="1" t="s">
        <v>2443</v>
      </c>
      <c r="AB458" s="1" t="s">
        <v>2444</v>
      </c>
      <c r="AC458" s="1" t="s">
        <v>2445</v>
      </c>
      <c r="AD458" s="1" t="s">
        <v>17</v>
      </c>
      <c r="AE458" s="1" t="s">
        <v>17</v>
      </c>
      <c r="AF458" s="1" t="s">
        <v>19</v>
      </c>
      <c r="AG458" s="1" t="s">
        <v>19</v>
      </c>
      <c r="AH458" s="1" t="s">
        <v>2444</v>
      </c>
    </row>
    <row r="459" spans="2:34" ht="15">
      <c r="B459" s="4" t="s">
        <v>1518</v>
      </c>
      <c r="C459" s="5">
        <v>43721</v>
      </c>
      <c r="D459" s="4" t="s">
        <v>21</v>
      </c>
      <c r="E459" s="4" t="s">
        <v>2450</v>
      </c>
      <c r="F459" s="4" t="s">
        <v>3</v>
      </c>
      <c r="G459" s="4" t="s">
        <v>4</v>
      </c>
      <c r="H459" s="4" t="s">
        <v>2331</v>
      </c>
      <c r="I459" s="5">
        <v>43719</v>
      </c>
      <c r="J459" s="6">
        <v>0.6768402777777778</v>
      </c>
      <c r="K459" s="5">
        <v>43721</v>
      </c>
      <c r="L459" s="4" t="s">
        <v>2256</v>
      </c>
      <c r="M459" s="4"/>
      <c r="N459" s="4" t="s">
        <v>2353</v>
      </c>
      <c r="O459" s="4" t="s">
        <v>2309</v>
      </c>
      <c r="P459" s="4" t="s">
        <v>2426</v>
      </c>
      <c r="Q459" s="4" t="s">
        <v>4</v>
      </c>
      <c r="R459" s="4" t="s">
        <v>4</v>
      </c>
      <c r="S459" s="4" t="s">
        <v>10</v>
      </c>
      <c r="T459" s="4"/>
      <c r="U459" s="4"/>
      <c r="V459" s="4"/>
      <c r="W459" s="4" t="s">
        <v>2258</v>
      </c>
      <c r="X459" s="4" t="s">
        <v>2427</v>
      </c>
      <c r="Y459" s="4" t="s">
        <v>2427</v>
      </c>
      <c r="Z459" s="4" t="s">
        <v>2442</v>
      </c>
      <c r="AA459" s="4" t="s">
        <v>2443</v>
      </c>
      <c r="AB459" s="4" t="s">
        <v>2451</v>
      </c>
      <c r="AC459" s="4" t="s">
        <v>2445</v>
      </c>
      <c r="AD459" s="4" t="s">
        <v>17</v>
      </c>
      <c r="AE459" s="4" t="s">
        <v>18</v>
      </c>
      <c r="AF459" s="4" t="s">
        <v>19</v>
      </c>
      <c r="AG459" s="4" t="s">
        <v>19</v>
      </c>
      <c r="AH459" s="4" t="s">
        <v>2451</v>
      </c>
    </row>
    <row r="460" spans="2:34" ht="15">
      <c r="B460" s="1" t="s">
        <v>1518</v>
      </c>
      <c r="C460" s="2">
        <v>43724</v>
      </c>
      <c r="D460" s="1" t="s">
        <v>21</v>
      </c>
      <c r="E460" s="1" t="s">
        <v>2452</v>
      </c>
      <c r="F460" s="1" t="s">
        <v>3</v>
      </c>
      <c r="G460" s="1" t="s">
        <v>4</v>
      </c>
      <c r="H460" s="1" t="s">
        <v>119</v>
      </c>
      <c r="I460" s="2">
        <v>43721</v>
      </c>
      <c r="J460" s="3">
        <v>0.6910416666666667</v>
      </c>
      <c r="K460" s="2">
        <v>43725</v>
      </c>
      <c r="L460" s="1" t="s">
        <v>2256</v>
      </c>
      <c r="M460" s="1"/>
      <c r="N460" s="1" t="s">
        <v>977</v>
      </c>
      <c r="O460" s="1" t="s">
        <v>978</v>
      </c>
      <c r="P460" s="1" t="s">
        <v>2453</v>
      </c>
      <c r="Q460" s="1" t="s">
        <v>4</v>
      </c>
      <c r="R460" s="1" t="s">
        <v>4</v>
      </c>
      <c r="S460" s="1" t="s">
        <v>10</v>
      </c>
      <c r="T460" s="1"/>
      <c r="U460" s="1"/>
      <c r="V460" s="1"/>
      <c r="W460" s="1" t="s">
        <v>1963</v>
      </c>
      <c r="X460" s="1" t="s">
        <v>2454</v>
      </c>
      <c r="Y460" s="1" t="s">
        <v>2454</v>
      </c>
      <c r="Z460" s="1" t="s">
        <v>2455</v>
      </c>
      <c r="AA460" s="1" t="s">
        <v>2456</v>
      </c>
      <c r="AB460" s="1" t="s">
        <v>2457</v>
      </c>
      <c r="AC460" s="1" t="s">
        <v>2458</v>
      </c>
      <c r="AD460" s="1" t="s">
        <v>17</v>
      </c>
      <c r="AE460" s="1" t="s">
        <v>2459</v>
      </c>
      <c r="AF460" s="1" t="s">
        <v>19</v>
      </c>
      <c r="AG460" s="1" t="s">
        <v>19</v>
      </c>
      <c r="AH460" s="1" t="s">
        <v>2457</v>
      </c>
    </row>
    <row r="461" spans="2:34" ht="15">
      <c r="B461" s="4" t="s">
        <v>1524</v>
      </c>
      <c r="C461" s="5">
        <v>43724</v>
      </c>
      <c r="D461" s="4" t="s">
        <v>1</v>
      </c>
      <c r="E461" s="4" t="s">
        <v>2460</v>
      </c>
      <c r="F461" s="4" t="s">
        <v>3</v>
      </c>
      <c r="G461" s="4" t="s">
        <v>4</v>
      </c>
      <c r="H461" s="4" t="s">
        <v>914</v>
      </c>
      <c r="I461" s="5">
        <v>43721</v>
      </c>
      <c r="J461" s="6">
        <v>0.7343402777777778</v>
      </c>
      <c r="K461" s="5">
        <v>43725</v>
      </c>
      <c r="L461" s="4" t="s">
        <v>2256</v>
      </c>
      <c r="M461" s="4"/>
      <c r="N461" s="4" t="s">
        <v>156</v>
      </c>
      <c r="O461" s="4" t="s">
        <v>157</v>
      </c>
      <c r="P461" s="4" t="s">
        <v>2325</v>
      </c>
      <c r="Q461" s="4" t="s">
        <v>4</v>
      </c>
      <c r="R461" s="4" t="s">
        <v>4</v>
      </c>
      <c r="S461" s="4" t="s">
        <v>10</v>
      </c>
      <c r="T461" s="4"/>
      <c r="U461" s="4"/>
      <c r="V461" s="4"/>
      <c r="W461" s="4" t="s">
        <v>1963</v>
      </c>
      <c r="X461" s="4" t="s">
        <v>2461</v>
      </c>
      <c r="Y461" s="4" t="s">
        <v>2461</v>
      </c>
      <c r="Z461" s="4" t="s">
        <v>2462</v>
      </c>
      <c r="AA461" s="4" t="s">
        <v>2463</v>
      </c>
      <c r="AB461" s="4" t="s">
        <v>2464</v>
      </c>
      <c r="AC461" s="4" t="s">
        <v>2465</v>
      </c>
      <c r="AD461" s="4" t="s">
        <v>17</v>
      </c>
      <c r="AE461" s="4" t="s">
        <v>18</v>
      </c>
      <c r="AF461" s="4" t="s">
        <v>19</v>
      </c>
      <c r="AG461" s="4" t="s">
        <v>19</v>
      </c>
      <c r="AH461" s="4" t="s">
        <v>2464</v>
      </c>
    </row>
    <row r="462" spans="2:34" ht="15">
      <c r="B462" s="1" t="s">
        <v>1524</v>
      </c>
      <c r="C462" s="2">
        <v>43724</v>
      </c>
      <c r="D462" s="1" t="s">
        <v>1</v>
      </c>
      <c r="E462" s="1" t="s">
        <v>2466</v>
      </c>
      <c r="F462" s="1" t="s">
        <v>3</v>
      </c>
      <c r="G462" s="1" t="s">
        <v>4</v>
      </c>
      <c r="H462" s="1" t="s">
        <v>914</v>
      </c>
      <c r="I462" s="2">
        <v>43724</v>
      </c>
      <c r="J462" s="3">
        <v>0.40825231481481483</v>
      </c>
      <c r="K462" s="2">
        <v>43726</v>
      </c>
      <c r="L462" s="1" t="s">
        <v>2256</v>
      </c>
      <c r="M462" s="1"/>
      <c r="N462" s="1" t="s">
        <v>156</v>
      </c>
      <c r="O462" s="1" t="s">
        <v>157</v>
      </c>
      <c r="P462" s="1" t="s">
        <v>2325</v>
      </c>
      <c r="Q462" s="1" t="s">
        <v>4</v>
      </c>
      <c r="R462" s="1" t="s">
        <v>4</v>
      </c>
      <c r="S462" s="1" t="s">
        <v>10</v>
      </c>
      <c r="T462" s="1"/>
      <c r="U462" s="1"/>
      <c r="V462" s="1"/>
      <c r="W462" s="1" t="s">
        <v>1963</v>
      </c>
      <c r="X462" s="1" t="s">
        <v>2467</v>
      </c>
      <c r="Y462" s="1" t="s">
        <v>2467</v>
      </c>
      <c r="Z462" s="1" t="s">
        <v>1411</v>
      </c>
      <c r="AA462" s="1" t="s">
        <v>2468</v>
      </c>
      <c r="AB462" s="1" t="s">
        <v>2469</v>
      </c>
      <c r="AC462" s="1" t="s">
        <v>2470</v>
      </c>
      <c r="AD462" s="1" t="s">
        <v>17</v>
      </c>
      <c r="AE462" s="1" t="s">
        <v>18</v>
      </c>
      <c r="AF462" s="1" t="s">
        <v>19</v>
      </c>
      <c r="AG462" s="1" t="s">
        <v>19</v>
      </c>
      <c r="AH462" s="1" t="s">
        <v>2469</v>
      </c>
    </row>
    <row r="463" spans="2:34" ht="15">
      <c r="B463" s="4" t="s">
        <v>1518</v>
      </c>
      <c r="C463" s="5">
        <v>43726</v>
      </c>
      <c r="D463" s="4" t="s">
        <v>21</v>
      </c>
      <c r="E463" s="4" t="s">
        <v>2471</v>
      </c>
      <c r="F463" s="4" t="s">
        <v>3</v>
      </c>
      <c r="G463" s="4" t="s">
        <v>4</v>
      </c>
      <c r="H463" s="4" t="s">
        <v>126</v>
      </c>
      <c r="I463" s="5">
        <v>43725</v>
      </c>
      <c r="J463" s="6">
        <v>0.6939930555555556</v>
      </c>
      <c r="K463" s="5">
        <v>43727</v>
      </c>
      <c r="L463" s="4" t="s">
        <v>2256</v>
      </c>
      <c r="M463" s="4"/>
      <c r="N463" s="4" t="s">
        <v>459</v>
      </c>
      <c r="O463" s="4" t="s">
        <v>460</v>
      </c>
      <c r="P463" s="4" t="s">
        <v>2472</v>
      </c>
      <c r="Q463" s="4" t="s">
        <v>4</v>
      </c>
      <c r="R463" s="4" t="s">
        <v>4</v>
      </c>
      <c r="S463" s="4" t="s">
        <v>10</v>
      </c>
      <c r="T463" s="4"/>
      <c r="U463" s="4"/>
      <c r="V463" s="4"/>
      <c r="W463" s="4" t="s">
        <v>2258</v>
      </c>
      <c r="X463" s="4" t="s">
        <v>960</v>
      </c>
      <c r="Y463" s="4" t="s">
        <v>960</v>
      </c>
      <c r="Z463" s="4" t="s">
        <v>2473</v>
      </c>
      <c r="AA463" s="4" t="s">
        <v>2474</v>
      </c>
      <c r="AB463" s="4" t="s">
        <v>2475</v>
      </c>
      <c r="AC463" s="4" t="s">
        <v>2476</v>
      </c>
      <c r="AD463" s="4" t="s">
        <v>17</v>
      </c>
      <c r="AE463" s="4" t="s">
        <v>18</v>
      </c>
      <c r="AF463" s="4" t="s">
        <v>19</v>
      </c>
      <c r="AG463" s="4" t="s">
        <v>19</v>
      </c>
      <c r="AH463" s="4" t="s">
        <v>2475</v>
      </c>
    </row>
    <row r="464" spans="2:34" ht="15">
      <c r="B464" s="1" t="s">
        <v>1524</v>
      </c>
      <c r="C464" s="2">
        <v>43726</v>
      </c>
      <c r="D464" s="1" t="s">
        <v>1</v>
      </c>
      <c r="E464" s="1" t="s">
        <v>2477</v>
      </c>
      <c r="F464" s="1" t="s">
        <v>3</v>
      </c>
      <c r="G464" s="1" t="s">
        <v>4</v>
      </c>
      <c r="H464" s="1" t="s">
        <v>126</v>
      </c>
      <c r="I464" s="2">
        <v>43726</v>
      </c>
      <c r="J464" s="3">
        <v>0.4133101851851852</v>
      </c>
      <c r="K464" s="2">
        <v>43728</v>
      </c>
      <c r="L464" s="1" t="s">
        <v>2256</v>
      </c>
      <c r="M464" s="1"/>
      <c r="N464" s="1" t="s">
        <v>418</v>
      </c>
      <c r="O464" s="1" t="s">
        <v>419</v>
      </c>
      <c r="P464" s="1" t="s">
        <v>2478</v>
      </c>
      <c r="Q464" s="1" t="s">
        <v>4</v>
      </c>
      <c r="R464" s="1" t="s">
        <v>4</v>
      </c>
      <c r="S464" s="1" t="s">
        <v>10</v>
      </c>
      <c r="T464" s="1"/>
      <c r="U464" s="1"/>
      <c r="V464" s="1"/>
      <c r="W464" s="1" t="s">
        <v>1963</v>
      </c>
      <c r="X464" s="1" t="s">
        <v>901</v>
      </c>
      <c r="Y464" s="1" t="s">
        <v>901</v>
      </c>
      <c r="Z464" s="1" t="s">
        <v>2479</v>
      </c>
      <c r="AA464" s="1" t="s">
        <v>2480</v>
      </c>
      <c r="AB464" s="1" t="s">
        <v>2481</v>
      </c>
      <c r="AC464" s="1" t="s">
        <v>2482</v>
      </c>
      <c r="AD464" s="1" t="s">
        <v>17</v>
      </c>
      <c r="AE464" s="1" t="s">
        <v>18</v>
      </c>
      <c r="AF464" s="1" t="s">
        <v>19</v>
      </c>
      <c r="AG464" s="1" t="s">
        <v>19</v>
      </c>
      <c r="AH464" s="1" t="s">
        <v>2481</v>
      </c>
    </row>
    <row r="465" spans="2:34" ht="15">
      <c r="B465" s="4" t="s">
        <v>1518</v>
      </c>
      <c r="C465" s="5">
        <v>43727</v>
      </c>
      <c r="D465" s="4" t="s">
        <v>21</v>
      </c>
      <c r="E465" s="4" t="s">
        <v>2483</v>
      </c>
      <c r="F465" s="4" t="s">
        <v>3</v>
      </c>
      <c r="G465" s="4" t="s">
        <v>4</v>
      </c>
      <c r="H465" s="4" t="s">
        <v>126</v>
      </c>
      <c r="I465" s="5">
        <v>43726</v>
      </c>
      <c r="J465" s="6">
        <v>0.6182638888888888</v>
      </c>
      <c r="K465" s="5">
        <v>43728</v>
      </c>
      <c r="L465" s="4" t="s">
        <v>2256</v>
      </c>
      <c r="M465" s="4"/>
      <c r="N465" s="4" t="s">
        <v>459</v>
      </c>
      <c r="O465" s="4" t="s">
        <v>460</v>
      </c>
      <c r="P465" s="4" t="s">
        <v>2472</v>
      </c>
      <c r="Q465" s="4" t="s">
        <v>4</v>
      </c>
      <c r="R465" s="4" t="s">
        <v>4</v>
      </c>
      <c r="S465" s="4" t="s">
        <v>10</v>
      </c>
      <c r="T465" s="4"/>
      <c r="U465" s="4"/>
      <c r="V465" s="4"/>
      <c r="W465" s="4" t="s">
        <v>2258</v>
      </c>
      <c r="X465" s="4" t="s">
        <v>42</v>
      </c>
      <c r="Y465" s="4" t="s">
        <v>42</v>
      </c>
      <c r="Z465" s="4" t="s">
        <v>2484</v>
      </c>
      <c r="AA465" s="4" t="s">
        <v>2485</v>
      </c>
      <c r="AB465" s="4" t="s">
        <v>2486</v>
      </c>
      <c r="AC465" s="4" t="s">
        <v>2487</v>
      </c>
      <c r="AD465" s="4" t="s">
        <v>17</v>
      </c>
      <c r="AE465" s="4" t="s">
        <v>18</v>
      </c>
      <c r="AF465" s="4" t="s">
        <v>19</v>
      </c>
      <c r="AG465" s="4" t="s">
        <v>19</v>
      </c>
      <c r="AH465" s="4" t="s">
        <v>2486</v>
      </c>
    </row>
    <row r="466" spans="2:34" ht="15">
      <c r="B466" s="1" t="s">
        <v>1518</v>
      </c>
      <c r="C466" s="2">
        <v>43727</v>
      </c>
      <c r="D466" s="1" t="s">
        <v>21</v>
      </c>
      <c r="E466" s="1" t="s">
        <v>2488</v>
      </c>
      <c r="F466" s="1" t="s">
        <v>3</v>
      </c>
      <c r="G466" s="1" t="s">
        <v>4</v>
      </c>
      <c r="H466" s="1" t="s">
        <v>126</v>
      </c>
      <c r="I466" s="2">
        <v>43726</v>
      </c>
      <c r="J466" s="3">
        <v>0.6979282407407408</v>
      </c>
      <c r="K466" s="2">
        <v>43728</v>
      </c>
      <c r="L466" s="1" t="s">
        <v>2256</v>
      </c>
      <c r="M466" s="1"/>
      <c r="N466" s="1" t="s">
        <v>459</v>
      </c>
      <c r="O466" s="1" t="s">
        <v>460</v>
      </c>
      <c r="P466" s="1" t="s">
        <v>2472</v>
      </c>
      <c r="Q466" s="1" t="s">
        <v>4</v>
      </c>
      <c r="R466" s="1" t="s">
        <v>4</v>
      </c>
      <c r="S466" s="1" t="s">
        <v>10</v>
      </c>
      <c r="T466" s="1"/>
      <c r="U466" s="1"/>
      <c r="V466" s="1"/>
      <c r="W466" s="1" t="s">
        <v>2258</v>
      </c>
      <c r="X466" s="1" t="s">
        <v>1025</v>
      </c>
      <c r="Y466" s="1" t="s">
        <v>1025</v>
      </c>
      <c r="Z466" s="1" t="s">
        <v>2489</v>
      </c>
      <c r="AA466" s="1" t="s">
        <v>2490</v>
      </c>
      <c r="AB466" s="1" t="s">
        <v>2491</v>
      </c>
      <c r="AC466" s="1" t="s">
        <v>2492</v>
      </c>
      <c r="AD466" s="1" t="s">
        <v>17</v>
      </c>
      <c r="AE466" s="1" t="s">
        <v>18</v>
      </c>
      <c r="AF466" s="1" t="s">
        <v>19</v>
      </c>
      <c r="AG466" s="1" t="s">
        <v>19</v>
      </c>
      <c r="AH466" s="1" t="s">
        <v>2491</v>
      </c>
    </row>
    <row r="467" spans="2:34" ht="15">
      <c r="B467" s="4" t="s">
        <v>1518</v>
      </c>
      <c r="C467" s="5">
        <v>43727</v>
      </c>
      <c r="D467" s="4" t="s">
        <v>21</v>
      </c>
      <c r="E467" s="4" t="s">
        <v>2493</v>
      </c>
      <c r="F467" s="4" t="s">
        <v>3</v>
      </c>
      <c r="G467" s="4" t="s">
        <v>4</v>
      </c>
      <c r="H467" s="4" t="s">
        <v>119</v>
      </c>
      <c r="I467" s="5">
        <v>43726</v>
      </c>
      <c r="J467" s="6">
        <v>0.6926967592592592</v>
      </c>
      <c r="K467" s="5">
        <v>43728</v>
      </c>
      <c r="L467" s="4" t="s">
        <v>2256</v>
      </c>
      <c r="M467" s="4"/>
      <c r="N467" s="4" t="s">
        <v>977</v>
      </c>
      <c r="O467" s="4" t="s">
        <v>978</v>
      </c>
      <c r="P467" s="4" t="s">
        <v>2453</v>
      </c>
      <c r="Q467" s="4" t="s">
        <v>4</v>
      </c>
      <c r="R467" s="4" t="s">
        <v>4</v>
      </c>
      <c r="S467" s="4" t="s">
        <v>10</v>
      </c>
      <c r="T467" s="4"/>
      <c r="U467" s="4"/>
      <c r="V467" s="4"/>
      <c r="W467" s="4" t="s">
        <v>1963</v>
      </c>
      <c r="X467" s="4" t="s">
        <v>2494</v>
      </c>
      <c r="Y467" s="4" t="s">
        <v>2494</v>
      </c>
      <c r="Z467" s="4" t="s">
        <v>2495</v>
      </c>
      <c r="AA467" s="4" t="s">
        <v>2496</v>
      </c>
      <c r="AB467" s="4" t="s">
        <v>2497</v>
      </c>
      <c r="AC467" s="4" t="s">
        <v>2498</v>
      </c>
      <c r="AD467" s="4" t="s">
        <v>17</v>
      </c>
      <c r="AE467" s="4" t="s">
        <v>2499</v>
      </c>
      <c r="AF467" s="4" t="s">
        <v>19</v>
      </c>
      <c r="AG467" s="4" t="s">
        <v>19</v>
      </c>
      <c r="AH467" s="4" t="s">
        <v>2497</v>
      </c>
    </row>
    <row r="468" spans="2:34" ht="15">
      <c r="B468" s="1" t="s">
        <v>1518</v>
      </c>
      <c r="C468" s="2">
        <v>43728</v>
      </c>
      <c r="D468" s="1" t="s">
        <v>21</v>
      </c>
      <c r="E468" s="1" t="s">
        <v>2500</v>
      </c>
      <c r="F468" s="1" t="s">
        <v>3</v>
      </c>
      <c r="G468" s="1" t="s">
        <v>4</v>
      </c>
      <c r="H468" s="1" t="s">
        <v>126</v>
      </c>
      <c r="I468" s="2">
        <v>43727</v>
      </c>
      <c r="J468" s="3">
        <v>0.6882986111111111</v>
      </c>
      <c r="K468" s="2">
        <v>43731</v>
      </c>
      <c r="L468" s="1" t="s">
        <v>2256</v>
      </c>
      <c r="M468" s="1"/>
      <c r="N468" s="1" t="s">
        <v>459</v>
      </c>
      <c r="O468" s="1" t="s">
        <v>460</v>
      </c>
      <c r="P468" s="1" t="s">
        <v>2472</v>
      </c>
      <c r="Q468" s="1" t="s">
        <v>4</v>
      </c>
      <c r="R468" s="1" t="s">
        <v>4</v>
      </c>
      <c r="S468" s="1" t="s">
        <v>10</v>
      </c>
      <c r="T468" s="1"/>
      <c r="U468" s="1"/>
      <c r="V468" s="1"/>
      <c r="W468" s="1" t="s">
        <v>2258</v>
      </c>
      <c r="X468" s="1" t="s">
        <v>2501</v>
      </c>
      <c r="Y468" s="1" t="s">
        <v>2501</v>
      </c>
      <c r="Z468" s="1" t="s">
        <v>2502</v>
      </c>
      <c r="AA468" s="1" t="s">
        <v>2503</v>
      </c>
      <c r="AB468" s="1" t="s">
        <v>2504</v>
      </c>
      <c r="AC468" s="1" t="s">
        <v>2505</v>
      </c>
      <c r="AD468" s="1" t="s">
        <v>17</v>
      </c>
      <c r="AE468" s="1" t="s">
        <v>18</v>
      </c>
      <c r="AF468" s="1" t="s">
        <v>19</v>
      </c>
      <c r="AG468" s="1" t="s">
        <v>19</v>
      </c>
      <c r="AH468" s="1" t="s">
        <v>2504</v>
      </c>
    </row>
    <row r="469" spans="2:34" ht="15">
      <c r="B469" s="4" t="s">
        <v>1518</v>
      </c>
      <c r="C469" s="5">
        <v>43731</v>
      </c>
      <c r="D469" s="4" t="s">
        <v>21</v>
      </c>
      <c r="E469" s="4" t="s">
        <v>2506</v>
      </c>
      <c r="F469" s="4" t="s">
        <v>3</v>
      </c>
      <c r="G469" s="4" t="s">
        <v>4</v>
      </c>
      <c r="H469" s="4" t="s">
        <v>126</v>
      </c>
      <c r="I469" s="5">
        <v>43728</v>
      </c>
      <c r="J469" s="6">
        <v>0.6865740740740741</v>
      </c>
      <c r="K469" s="5">
        <v>43732</v>
      </c>
      <c r="L469" s="4" t="s">
        <v>2256</v>
      </c>
      <c r="M469" s="4"/>
      <c r="N469" s="4" t="s">
        <v>459</v>
      </c>
      <c r="O469" s="4" t="s">
        <v>460</v>
      </c>
      <c r="P469" s="4" t="s">
        <v>2472</v>
      </c>
      <c r="Q469" s="4" t="s">
        <v>4</v>
      </c>
      <c r="R469" s="4" t="s">
        <v>4</v>
      </c>
      <c r="S469" s="4" t="s">
        <v>10</v>
      </c>
      <c r="T469" s="4"/>
      <c r="U469" s="4"/>
      <c r="V469" s="4"/>
      <c r="W469" s="4" t="s">
        <v>2258</v>
      </c>
      <c r="X469" s="4" t="s">
        <v>2507</v>
      </c>
      <c r="Y469" s="4" t="s">
        <v>2507</v>
      </c>
      <c r="Z469" s="4" t="s">
        <v>2502</v>
      </c>
      <c r="AA469" s="4" t="s">
        <v>2508</v>
      </c>
      <c r="AB469" s="4" t="s">
        <v>2509</v>
      </c>
      <c r="AC469" s="4" t="s">
        <v>2510</v>
      </c>
      <c r="AD469" s="4" t="s">
        <v>17</v>
      </c>
      <c r="AE469" s="4" t="s">
        <v>18</v>
      </c>
      <c r="AF469" s="4" t="s">
        <v>19</v>
      </c>
      <c r="AG469" s="4" t="s">
        <v>19</v>
      </c>
      <c r="AH469" s="4" t="s">
        <v>2509</v>
      </c>
    </row>
    <row r="470" spans="2:34" ht="15">
      <c r="B470" s="1" t="s">
        <v>1518</v>
      </c>
      <c r="C470" s="2">
        <v>43731</v>
      </c>
      <c r="D470" s="1" t="s">
        <v>21</v>
      </c>
      <c r="E470" s="1" t="s">
        <v>2511</v>
      </c>
      <c r="F470" s="1" t="s">
        <v>3</v>
      </c>
      <c r="G470" s="1" t="s">
        <v>4</v>
      </c>
      <c r="H470" s="1" t="s">
        <v>119</v>
      </c>
      <c r="I470" s="2">
        <v>43728</v>
      </c>
      <c r="J470" s="3">
        <v>0.6725578703703704</v>
      </c>
      <c r="K470" s="2">
        <v>43732</v>
      </c>
      <c r="L470" s="1" t="s">
        <v>2256</v>
      </c>
      <c r="M470" s="1"/>
      <c r="N470" s="1" t="s">
        <v>977</v>
      </c>
      <c r="O470" s="1" t="s">
        <v>978</v>
      </c>
      <c r="P470" s="1" t="s">
        <v>2453</v>
      </c>
      <c r="Q470" s="1" t="s">
        <v>4</v>
      </c>
      <c r="R470" s="1" t="s">
        <v>4</v>
      </c>
      <c r="S470" s="1" t="s">
        <v>10</v>
      </c>
      <c r="T470" s="1"/>
      <c r="U470" s="1"/>
      <c r="V470" s="1"/>
      <c r="W470" s="1" t="s">
        <v>1963</v>
      </c>
      <c r="X470" s="1" t="s">
        <v>1025</v>
      </c>
      <c r="Y470" s="1" t="s">
        <v>1025</v>
      </c>
      <c r="Z470" s="1" t="s">
        <v>2495</v>
      </c>
      <c r="AA470" s="1" t="s">
        <v>2512</v>
      </c>
      <c r="AB470" s="1" t="s">
        <v>2513</v>
      </c>
      <c r="AC470" s="1" t="s">
        <v>2514</v>
      </c>
      <c r="AD470" s="1" t="s">
        <v>17</v>
      </c>
      <c r="AE470" s="1" t="s">
        <v>2515</v>
      </c>
      <c r="AF470" s="1" t="s">
        <v>19</v>
      </c>
      <c r="AG470" s="1" t="s">
        <v>19</v>
      </c>
      <c r="AH470" s="1" t="s">
        <v>2513</v>
      </c>
    </row>
    <row r="471" spans="2:34" ht="15">
      <c r="B471" s="4" t="s">
        <v>1518</v>
      </c>
      <c r="C471" s="5">
        <v>43733</v>
      </c>
      <c r="D471" s="4" t="s">
        <v>21</v>
      </c>
      <c r="E471" s="4" t="s">
        <v>2516</v>
      </c>
      <c r="F471" s="4" t="s">
        <v>3</v>
      </c>
      <c r="G471" s="4" t="s">
        <v>4</v>
      </c>
      <c r="H471" s="4" t="s">
        <v>23</v>
      </c>
      <c r="I471" s="5">
        <v>43732</v>
      </c>
      <c r="J471" s="6">
        <v>0.5967592592592592</v>
      </c>
      <c r="K471" s="5">
        <v>43734</v>
      </c>
      <c r="L471" s="4" t="s">
        <v>2256</v>
      </c>
      <c r="M471" s="4"/>
      <c r="N471" s="4" t="s">
        <v>459</v>
      </c>
      <c r="O471" s="4" t="s">
        <v>460</v>
      </c>
      <c r="P471" s="4" t="s">
        <v>2472</v>
      </c>
      <c r="Q471" s="4" t="s">
        <v>4</v>
      </c>
      <c r="R471" s="4" t="s">
        <v>4</v>
      </c>
      <c r="S471" s="4" t="s">
        <v>10</v>
      </c>
      <c r="T471" s="4"/>
      <c r="U471" s="4"/>
      <c r="V471" s="4"/>
      <c r="W471" s="4" t="s">
        <v>2258</v>
      </c>
      <c r="X471" s="4" t="s">
        <v>2517</v>
      </c>
      <c r="Y471" s="4" t="s">
        <v>2517</v>
      </c>
      <c r="Z471" s="4" t="s">
        <v>2502</v>
      </c>
      <c r="AA471" s="4" t="s">
        <v>2518</v>
      </c>
      <c r="AB471" s="4" t="s">
        <v>2519</v>
      </c>
      <c r="AC471" s="4" t="s">
        <v>2520</v>
      </c>
      <c r="AD471" s="4" t="s">
        <v>17</v>
      </c>
      <c r="AE471" s="4" t="s">
        <v>18</v>
      </c>
      <c r="AF471" s="4" t="s">
        <v>19</v>
      </c>
      <c r="AG471" s="4" t="s">
        <v>19</v>
      </c>
      <c r="AH471" s="4" t="s">
        <v>2519</v>
      </c>
    </row>
    <row r="472" spans="2:34" ht="15">
      <c r="B472" s="1" t="s">
        <v>1524</v>
      </c>
      <c r="C472" s="2">
        <v>43733</v>
      </c>
      <c r="D472" s="1" t="s">
        <v>1</v>
      </c>
      <c r="E472" s="1" t="s">
        <v>2521</v>
      </c>
      <c r="F472" s="1" t="s">
        <v>3</v>
      </c>
      <c r="G472" s="1" t="s">
        <v>4</v>
      </c>
      <c r="H472" s="1" t="s">
        <v>119</v>
      </c>
      <c r="I472" s="2">
        <v>43732</v>
      </c>
      <c r="J472" s="3">
        <v>0.601875</v>
      </c>
      <c r="K472" s="2">
        <v>43734</v>
      </c>
      <c r="L472" s="1" t="s">
        <v>2256</v>
      </c>
      <c r="M472" s="1"/>
      <c r="N472" s="1" t="s">
        <v>2522</v>
      </c>
      <c r="O472" s="1" t="s">
        <v>2523</v>
      </c>
      <c r="P472" s="1" t="s">
        <v>2524</v>
      </c>
      <c r="Q472" s="1" t="s">
        <v>4</v>
      </c>
      <c r="R472" s="1" t="s">
        <v>4</v>
      </c>
      <c r="S472" s="1" t="s">
        <v>10</v>
      </c>
      <c r="T472" s="1"/>
      <c r="U472" s="1"/>
      <c r="V472" s="1"/>
      <c r="W472" s="1" t="s">
        <v>1963</v>
      </c>
      <c r="X472" s="1" t="s">
        <v>2356</v>
      </c>
      <c r="Y472" s="1" t="s">
        <v>2356</v>
      </c>
      <c r="Z472" s="1" t="s">
        <v>2525</v>
      </c>
      <c r="AA472" s="1" t="s">
        <v>2526</v>
      </c>
      <c r="AB472" s="1" t="s">
        <v>2527</v>
      </c>
      <c r="AC472" s="1" t="s">
        <v>2528</v>
      </c>
      <c r="AD472" s="1" t="s">
        <v>17</v>
      </c>
      <c r="AE472" s="1" t="s">
        <v>18</v>
      </c>
      <c r="AF472" s="1" t="s">
        <v>19</v>
      </c>
      <c r="AG472" s="1" t="s">
        <v>19</v>
      </c>
      <c r="AH472" s="1" t="s">
        <v>2527</v>
      </c>
    </row>
    <row r="473" spans="2:34" ht="15">
      <c r="B473" s="4" t="s">
        <v>1518</v>
      </c>
      <c r="C473" s="5">
        <v>43734</v>
      </c>
      <c r="D473" s="4" t="s">
        <v>21</v>
      </c>
      <c r="E473" s="4" t="s">
        <v>2529</v>
      </c>
      <c r="F473" s="4" t="s">
        <v>3</v>
      </c>
      <c r="G473" s="4" t="s">
        <v>4</v>
      </c>
      <c r="H473" s="4" t="s">
        <v>632</v>
      </c>
      <c r="I473" s="5">
        <v>43732</v>
      </c>
      <c r="J473" s="6">
        <v>0.43581018518518516</v>
      </c>
      <c r="K473" s="5">
        <v>43734</v>
      </c>
      <c r="L473" s="4" t="s">
        <v>2256</v>
      </c>
      <c r="M473" s="4"/>
      <c r="N473" s="4" t="s">
        <v>110</v>
      </c>
      <c r="O473" s="4" t="s">
        <v>111</v>
      </c>
      <c r="P473" s="4" t="s">
        <v>2355</v>
      </c>
      <c r="Q473" s="4" t="s">
        <v>4</v>
      </c>
      <c r="R473" s="4" t="s">
        <v>4</v>
      </c>
      <c r="S473" s="4" t="s">
        <v>10</v>
      </c>
      <c r="T473" s="4"/>
      <c r="U473" s="4"/>
      <c r="V473" s="4"/>
      <c r="W473" s="4" t="s">
        <v>2258</v>
      </c>
      <c r="X473" s="4" t="s">
        <v>655</v>
      </c>
      <c r="Y473" s="4" t="s">
        <v>655</v>
      </c>
      <c r="Z473" s="4" t="s">
        <v>2530</v>
      </c>
      <c r="AA473" s="4" t="s">
        <v>2531</v>
      </c>
      <c r="AB473" s="4" t="s">
        <v>2532</v>
      </c>
      <c r="AC473" s="4" t="s">
        <v>2533</v>
      </c>
      <c r="AD473" s="4" t="s">
        <v>17</v>
      </c>
      <c r="AE473" s="4" t="s">
        <v>18</v>
      </c>
      <c r="AF473" s="4" t="s">
        <v>19</v>
      </c>
      <c r="AG473" s="4" t="s">
        <v>19</v>
      </c>
      <c r="AH473" s="4" t="s">
        <v>2532</v>
      </c>
    </row>
    <row r="474" spans="2:34" ht="15">
      <c r="B474" s="1" t="s">
        <v>1518</v>
      </c>
      <c r="C474" s="2">
        <v>43735</v>
      </c>
      <c r="D474" s="1" t="s">
        <v>21</v>
      </c>
      <c r="E474" s="1" t="s">
        <v>2534</v>
      </c>
      <c r="F474" s="1" t="s">
        <v>3</v>
      </c>
      <c r="G474" s="1" t="s">
        <v>4</v>
      </c>
      <c r="H474" s="1" t="s">
        <v>119</v>
      </c>
      <c r="I474" s="2">
        <v>43734</v>
      </c>
      <c r="J474" s="3">
        <v>0.6931018518518518</v>
      </c>
      <c r="K474" s="2">
        <v>43738</v>
      </c>
      <c r="L474" s="1" t="s">
        <v>2256</v>
      </c>
      <c r="M474" s="1"/>
      <c r="N474" s="1" t="s">
        <v>977</v>
      </c>
      <c r="O474" s="1" t="s">
        <v>978</v>
      </c>
      <c r="P474" s="1" t="s">
        <v>2453</v>
      </c>
      <c r="Q474" s="1" t="s">
        <v>4</v>
      </c>
      <c r="R474" s="1" t="s">
        <v>4</v>
      </c>
      <c r="S474" s="1" t="s">
        <v>10</v>
      </c>
      <c r="T474" s="1"/>
      <c r="U474" s="1"/>
      <c r="V474" s="1"/>
      <c r="W474" s="1" t="s">
        <v>1963</v>
      </c>
      <c r="X474" s="1" t="s">
        <v>2535</v>
      </c>
      <c r="Y474" s="1" t="s">
        <v>2535</v>
      </c>
      <c r="Z474" s="1" t="s">
        <v>2536</v>
      </c>
      <c r="AA474" s="1" t="s">
        <v>2537</v>
      </c>
      <c r="AB474" s="1" t="s">
        <v>2538</v>
      </c>
      <c r="AC474" s="1" t="s">
        <v>2539</v>
      </c>
      <c r="AD474" s="1" t="s">
        <v>17</v>
      </c>
      <c r="AE474" s="1" t="s">
        <v>2540</v>
      </c>
      <c r="AF474" s="1" t="s">
        <v>19</v>
      </c>
      <c r="AG474" s="1" t="s">
        <v>19</v>
      </c>
      <c r="AH474" s="1" t="s">
        <v>2538</v>
      </c>
    </row>
    <row r="475" spans="2:34" ht="15">
      <c r="B475" s="4" t="s">
        <v>1518</v>
      </c>
      <c r="C475" s="5">
        <v>43738</v>
      </c>
      <c r="D475" s="4" t="s">
        <v>21</v>
      </c>
      <c r="E475" s="4" t="s">
        <v>2541</v>
      </c>
      <c r="F475" s="4" t="s">
        <v>3</v>
      </c>
      <c r="G475" s="4" t="s">
        <v>4</v>
      </c>
      <c r="H475" s="4" t="s">
        <v>119</v>
      </c>
      <c r="I475" s="5">
        <v>43735</v>
      </c>
      <c r="J475" s="6">
        <v>0.6916435185185185</v>
      </c>
      <c r="K475" s="5">
        <v>43739</v>
      </c>
      <c r="L475" s="4" t="s">
        <v>2256</v>
      </c>
      <c r="M475" s="4"/>
      <c r="N475" s="4" t="s">
        <v>977</v>
      </c>
      <c r="O475" s="4" t="s">
        <v>978</v>
      </c>
      <c r="P475" s="4" t="s">
        <v>2453</v>
      </c>
      <c r="Q475" s="4" t="s">
        <v>4</v>
      </c>
      <c r="R475" s="4" t="s">
        <v>4</v>
      </c>
      <c r="S475" s="4" t="s">
        <v>10</v>
      </c>
      <c r="T475" s="4"/>
      <c r="U475" s="4"/>
      <c r="V475" s="4"/>
      <c r="W475" s="4" t="s">
        <v>1963</v>
      </c>
      <c r="X475" s="4" t="s">
        <v>2542</v>
      </c>
      <c r="Y475" s="4" t="s">
        <v>2542</v>
      </c>
      <c r="Z475" s="4" t="s">
        <v>2495</v>
      </c>
      <c r="AA475" s="4" t="s">
        <v>2543</v>
      </c>
      <c r="AB475" s="4" t="s">
        <v>2544</v>
      </c>
      <c r="AC475" s="4" t="s">
        <v>2545</v>
      </c>
      <c r="AD475" s="4" t="s">
        <v>17</v>
      </c>
      <c r="AE475" s="4" t="s">
        <v>2546</v>
      </c>
      <c r="AF475" s="4" t="s">
        <v>19</v>
      </c>
      <c r="AG475" s="4" t="s">
        <v>19</v>
      </c>
      <c r="AH475" s="4" t="s">
        <v>2544</v>
      </c>
    </row>
    <row r="476" spans="2:34" ht="15">
      <c r="B476" s="1" t="s">
        <v>1518</v>
      </c>
      <c r="C476" s="2">
        <v>43739</v>
      </c>
      <c r="D476" s="1" t="s">
        <v>21</v>
      </c>
      <c r="E476" s="1" t="s">
        <v>2547</v>
      </c>
      <c r="F476" s="1" t="s">
        <v>3</v>
      </c>
      <c r="G476" s="1" t="s">
        <v>4</v>
      </c>
      <c r="H476" s="1" t="s">
        <v>632</v>
      </c>
      <c r="I476" s="2">
        <v>43738</v>
      </c>
      <c r="J476" s="3">
        <v>0.48935185185185187</v>
      </c>
      <c r="K476" s="2">
        <v>43740</v>
      </c>
      <c r="L476" s="1" t="s">
        <v>2256</v>
      </c>
      <c r="M476" s="1"/>
      <c r="N476" s="1" t="s">
        <v>24</v>
      </c>
      <c r="O476" s="1" t="s">
        <v>25</v>
      </c>
      <c r="P476" s="1" t="s">
        <v>2548</v>
      </c>
      <c r="Q476" s="1" t="s">
        <v>4</v>
      </c>
      <c r="R476" s="1" t="s">
        <v>4</v>
      </c>
      <c r="S476" s="1" t="s">
        <v>10</v>
      </c>
      <c r="T476" s="1"/>
      <c r="U476" s="1"/>
      <c r="V476" s="1"/>
      <c r="W476" s="1" t="s">
        <v>2258</v>
      </c>
      <c r="X476" s="1" t="s">
        <v>2549</v>
      </c>
      <c r="Y476" s="1" t="s">
        <v>2549</v>
      </c>
      <c r="Z476" s="1" t="s">
        <v>2550</v>
      </c>
      <c r="AA476" s="1" t="s">
        <v>2551</v>
      </c>
      <c r="AB476" s="1" t="s">
        <v>2552</v>
      </c>
      <c r="AC476" s="1" t="s">
        <v>2553</v>
      </c>
      <c r="AD476" s="1" t="s">
        <v>17</v>
      </c>
      <c r="AE476" s="1" t="s">
        <v>18</v>
      </c>
      <c r="AF476" s="1" t="s">
        <v>19</v>
      </c>
      <c r="AG476" s="1" t="s">
        <v>19</v>
      </c>
      <c r="AH476" s="1" t="s">
        <v>2552</v>
      </c>
    </row>
    <row r="477" spans="2:34" ht="15">
      <c r="B477" s="4" t="s">
        <v>1518</v>
      </c>
      <c r="C477" s="5">
        <v>43739</v>
      </c>
      <c r="D477" s="4" t="s">
        <v>21</v>
      </c>
      <c r="E477" s="4" t="s">
        <v>2554</v>
      </c>
      <c r="F477" s="4" t="s">
        <v>3</v>
      </c>
      <c r="G477" s="4" t="s">
        <v>4</v>
      </c>
      <c r="H477" s="4" t="s">
        <v>632</v>
      </c>
      <c r="I477" s="5">
        <v>43738</v>
      </c>
      <c r="J477" s="6">
        <v>0.4895138888888889</v>
      </c>
      <c r="K477" s="5">
        <v>43740</v>
      </c>
      <c r="L477" s="4" t="s">
        <v>2256</v>
      </c>
      <c r="M477" s="4"/>
      <c r="N477" s="4" t="s">
        <v>24</v>
      </c>
      <c r="O477" s="4" t="s">
        <v>25</v>
      </c>
      <c r="P477" s="4" t="s">
        <v>2548</v>
      </c>
      <c r="Q477" s="4" t="s">
        <v>4</v>
      </c>
      <c r="R477" s="4" t="s">
        <v>4</v>
      </c>
      <c r="S477" s="4" t="s">
        <v>10</v>
      </c>
      <c r="T477" s="4"/>
      <c r="U477" s="4"/>
      <c r="V477" s="4"/>
      <c r="W477" s="4" t="s">
        <v>2258</v>
      </c>
      <c r="X477" s="4" t="s">
        <v>2555</v>
      </c>
      <c r="Y477" s="4" t="s">
        <v>2555</v>
      </c>
      <c r="Z477" s="4" t="s">
        <v>2556</v>
      </c>
      <c r="AA477" s="4" t="s">
        <v>2557</v>
      </c>
      <c r="AB477" s="4" t="s">
        <v>2558</v>
      </c>
      <c r="AC477" s="4" t="s">
        <v>2559</v>
      </c>
      <c r="AD477" s="4" t="s">
        <v>17</v>
      </c>
      <c r="AE477" s="4" t="s">
        <v>18</v>
      </c>
      <c r="AF477" s="4" t="s">
        <v>19</v>
      </c>
      <c r="AG477" s="4" t="s">
        <v>19</v>
      </c>
      <c r="AH477" s="4" t="s">
        <v>2558</v>
      </c>
    </row>
    <row r="478" spans="2:34" ht="15">
      <c r="B478" s="1" t="s">
        <v>1518</v>
      </c>
      <c r="C478" s="2">
        <v>43739</v>
      </c>
      <c r="D478" s="1" t="s">
        <v>21</v>
      </c>
      <c r="E478" s="1" t="s">
        <v>2560</v>
      </c>
      <c r="F478" s="1" t="s">
        <v>3</v>
      </c>
      <c r="G478" s="1" t="s">
        <v>4</v>
      </c>
      <c r="H478" s="1" t="s">
        <v>632</v>
      </c>
      <c r="I478" s="2">
        <v>43738</v>
      </c>
      <c r="J478" s="3">
        <v>0.6978703703703704</v>
      </c>
      <c r="K478" s="2">
        <v>43740</v>
      </c>
      <c r="L478" s="1" t="s">
        <v>2256</v>
      </c>
      <c r="M478" s="1"/>
      <c r="N478" s="1" t="s">
        <v>24</v>
      </c>
      <c r="O478" s="1" t="s">
        <v>25</v>
      </c>
      <c r="P478" s="1" t="s">
        <v>2548</v>
      </c>
      <c r="Q478" s="1" t="s">
        <v>4</v>
      </c>
      <c r="R478" s="1" t="s">
        <v>4</v>
      </c>
      <c r="S478" s="1" t="s">
        <v>10</v>
      </c>
      <c r="T478" s="1"/>
      <c r="U478" s="1"/>
      <c r="V478" s="1"/>
      <c r="W478" s="1" t="s">
        <v>2258</v>
      </c>
      <c r="X478" s="1" t="s">
        <v>2561</v>
      </c>
      <c r="Y478" s="1" t="s">
        <v>2561</v>
      </c>
      <c r="Z478" s="1" t="s">
        <v>2556</v>
      </c>
      <c r="AA478" s="1" t="s">
        <v>2562</v>
      </c>
      <c r="AB478" s="1" t="s">
        <v>2563</v>
      </c>
      <c r="AC478" s="1" t="s">
        <v>2564</v>
      </c>
      <c r="AD478" s="1" t="s">
        <v>17</v>
      </c>
      <c r="AE478" s="1" t="s">
        <v>18</v>
      </c>
      <c r="AF478" s="1" t="s">
        <v>19</v>
      </c>
      <c r="AG478" s="1" t="s">
        <v>19</v>
      </c>
      <c r="AH478" s="1" t="s">
        <v>2563</v>
      </c>
    </row>
    <row r="479" spans="2:34" ht="15">
      <c r="B479" s="4" t="s">
        <v>1524</v>
      </c>
      <c r="C479" s="5">
        <v>43739</v>
      </c>
      <c r="D479" s="4" t="s">
        <v>1</v>
      </c>
      <c r="E479" s="4" t="s">
        <v>2565</v>
      </c>
      <c r="F479" s="4" t="s">
        <v>3</v>
      </c>
      <c r="G479" s="4" t="s">
        <v>4</v>
      </c>
      <c r="H479" s="4" t="s">
        <v>632</v>
      </c>
      <c r="I479" s="5">
        <v>43738</v>
      </c>
      <c r="J479" s="6">
        <v>0.48935185185185187</v>
      </c>
      <c r="K479" s="5">
        <v>43740</v>
      </c>
      <c r="L479" s="4" t="s">
        <v>2256</v>
      </c>
      <c r="M479" s="4"/>
      <c r="N479" s="4" t="s">
        <v>24</v>
      </c>
      <c r="O479" s="4" t="s">
        <v>25</v>
      </c>
      <c r="P479" s="4" t="s">
        <v>2548</v>
      </c>
      <c r="Q479" s="4" t="s">
        <v>4</v>
      </c>
      <c r="R479" s="4" t="s">
        <v>4</v>
      </c>
      <c r="S479" s="4" t="s">
        <v>10</v>
      </c>
      <c r="T479" s="4"/>
      <c r="U479" s="4"/>
      <c r="V479" s="4"/>
      <c r="W479" s="4" t="s">
        <v>2258</v>
      </c>
      <c r="X479" s="4" t="s">
        <v>2566</v>
      </c>
      <c r="Y479" s="4" t="s">
        <v>2566</v>
      </c>
      <c r="Z479" s="4" t="s">
        <v>2550</v>
      </c>
      <c r="AA479" s="4" t="s">
        <v>2567</v>
      </c>
      <c r="AB479" s="4" t="s">
        <v>2568</v>
      </c>
      <c r="AC479" s="4" t="s">
        <v>2569</v>
      </c>
      <c r="AD479" s="4" t="s">
        <v>17</v>
      </c>
      <c r="AE479" s="4" t="s">
        <v>18</v>
      </c>
      <c r="AF479" s="4" t="s">
        <v>19</v>
      </c>
      <c r="AG479" s="4" t="s">
        <v>19</v>
      </c>
      <c r="AH479" s="4" t="s">
        <v>2568</v>
      </c>
    </row>
    <row r="480" spans="2:34" ht="15">
      <c r="B480" s="1" t="s">
        <v>1524</v>
      </c>
      <c r="C480" s="2">
        <v>43739</v>
      </c>
      <c r="D480" s="1" t="s">
        <v>1</v>
      </c>
      <c r="E480" s="1" t="s">
        <v>2570</v>
      </c>
      <c r="F480" s="1" t="s">
        <v>3</v>
      </c>
      <c r="G480" s="1" t="s">
        <v>4</v>
      </c>
      <c r="H480" s="1" t="s">
        <v>632</v>
      </c>
      <c r="I480" s="2">
        <v>43738</v>
      </c>
      <c r="J480" s="3">
        <v>0.4895138888888889</v>
      </c>
      <c r="K480" s="2">
        <v>43740</v>
      </c>
      <c r="L480" s="1" t="s">
        <v>2256</v>
      </c>
      <c r="M480" s="1"/>
      <c r="N480" s="1" t="s">
        <v>24</v>
      </c>
      <c r="O480" s="1" t="s">
        <v>25</v>
      </c>
      <c r="P480" s="1" t="s">
        <v>2548</v>
      </c>
      <c r="Q480" s="1" t="s">
        <v>4</v>
      </c>
      <c r="R480" s="1" t="s">
        <v>4</v>
      </c>
      <c r="S480" s="1" t="s">
        <v>10</v>
      </c>
      <c r="T480" s="1"/>
      <c r="U480" s="1"/>
      <c r="V480" s="1"/>
      <c r="W480" s="1" t="s">
        <v>2258</v>
      </c>
      <c r="X480" s="1" t="s">
        <v>2571</v>
      </c>
      <c r="Y480" s="1" t="s">
        <v>2571</v>
      </c>
      <c r="Z480" s="1" t="s">
        <v>2556</v>
      </c>
      <c r="AA480" s="1" t="s">
        <v>2572</v>
      </c>
      <c r="AB480" s="1" t="s">
        <v>2573</v>
      </c>
      <c r="AC480" s="1" t="s">
        <v>2574</v>
      </c>
      <c r="AD480" s="1" t="s">
        <v>17</v>
      </c>
      <c r="AE480" s="1" t="s">
        <v>18</v>
      </c>
      <c r="AF480" s="1" t="s">
        <v>19</v>
      </c>
      <c r="AG480" s="1" t="s">
        <v>19</v>
      </c>
      <c r="AH480" s="1" t="s">
        <v>2573</v>
      </c>
    </row>
    <row r="481" spans="2:34" ht="15">
      <c r="B481" s="7" t="s">
        <v>1524</v>
      </c>
      <c r="C481" s="8">
        <v>43739</v>
      </c>
      <c r="D481" s="7" t="s">
        <v>1</v>
      </c>
      <c r="E481" s="7" t="s">
        <v>2575</v>
      </c>
      <c r="F481" s="7" t="s">
        <v>3</v>
      </c>
      <c r="G481" s="7" t="s">
        <v>4</v>
      </c>
      <c r="H481" s="7" t="s">
        <v>632</v>
      </c>
      <c r="I481" s="8">
        <v>43738</v>
      </c>
      <c r="J481" s="9">
        <v>0.6978703703703704</v>
      </c>
      <c r="K481" s="8">
        <v>43740</v>
      </c>
      <c r="L481" s="7" t="s">
        <v>2256</v>
      </c>
      <c r="M481" s="7"/>
      <c r="N481" s="7" t="s">
        <v>24</v>
      </c>
      <c r="O481" s="7" t="s">
        <v>25</v>
      </c>
      <c r="P481" s="7" t="s">
        <v>2548</v>
      </c>
      <c r="Q481" s="7" t="s">
        <v>4</v>
      </c>
      <c r="R481" s="7" t="s">
        <v>4</v>
      </c>
      <c r="S481" s="7" t="s">
        <v>10</v>
      </c>
      <c r="T481" s="7"/>
      <c r="U481" s="7"/>
      <c r="V481" s="7"/>
      <c r="W481" s="7" t="s">
        <v>2258</v>
      </c>
      <c r="X481" s="7" t="s">
        <v>2576</v>
      </c>
      <c r="Y481" s="7" t="s">
        <v>2576</v>
      </c>
      <c r="Z481" s="7" t="s">
        <v>2556</v>
      </c>
      <c r="AA481" s="7" t="s">
        <v>2577</v>
      </c>
      <c r="AB481" s="7" t="s">
        <v>2578</v>
      </c>
      <c r="AC481" s="7" t="s">
        <v>2579</v>
      </c>
      <c r="AD481" s="7" t="s">
        <v>17</v>
      </c>
      <c r="AE481" s="7" t="s">
        <v>18</v>
      </c>
      <c r="AF481" s="7" t="s">
        <v>19</v>
      </c>
      <c r="AG481" s="7" t="s">
        <v>19</v>
      </c>
      <c r="AH481" s="7" t="s">
        <v>2578</v>
      </c>
    </row>
    <row r="482" spans="2:34" ht="15">
      <c r="B482" s="1" t="s">
        <v>1518</v>
      </c>
      <c r="C482" s="2">
        <v>43739</v>
      </c>
      <c r="D482" s="1" t="s">
        <v>21</v>
      </c>
      <c r="E482" s="1" t="s">
        <v>2547</v>
      </c>
      <c r="F482" s="1" t="s">
        <v>3</v>
      </c>
      <c r="G482" s="1" t="s">
        <v>4</v>
      </c>
      <c r="H482" s="1" t="s">
        <v>632</v>
      </c>
      <c r="I482" s="2">
        <v>43738</v>
      </c>
      <c r="J482" s="3">
        <v>0.48935185185185187</v>
      </c>
      <c r="K482" s="2">
        <v>43740</v>
      </c>
      <c r="L482" s="1" t="s">
        <v>2256</v>
      </c>
      <c r="M482" s="1"/>
      <c r="N482" s="1" t="s">
        <v>24</v>
      </c>
      <c r="O482" s="1" t="s">
        <v>25</v>
      </c>
      <c r="P482" s="1" t="s">
        <v>2548</v>
      </c>
      <c r="Q482" s="1" t="s">
        <v>4</v>
      </c>
      <c r="R482" s="1" t="s">
        <v>4</v>
      </c>
      <c r="S482" s="1" t="s">
        <v>10</v>
      </c>
      <c r="T482" s="1"/>
      <c r="U482" s="1"/>
      <c r="V482" s="1"/>
      <c r="W482" s="1" t="s">
        <v>2258</v>
      </c>
      <c r="X482" s="1" t="s">
        <v>2549</v>
      </c>
      <c r="Y482" s="1" t="s">
        <v>2549</v>
      </c>
      <c r="Z482" s="1" t="s">
        <v>2550</v>
      </c>
      <c r="AA482" s="1" t="s">
        <v>2551</v>
      </c>
      <c r="AB482" s="1" t="s">
        <v>2552</v>
      </c>
      <c r="AC482" s="1" t="s">
        <v>2553</v>
      </c>
      <c r="AD482" s="1" t="s">
        <v>17</v>
      </c>
      <c r="AE482" s="1" t="s">
        <v>18</v>
      </c>
      <c r="AF482" s="1" t="s">
        <v>19</v>
      </c>
      <c r="AG482" s="1" t="s">
        <v>19</v>
      </c>
      <c r="AH482" s="1" t="s">
        <v>2552</v>
      </c>
    </row>
    <row r="483" spans="2:34" ht="15">
      <c r="B483" s="4" t="s">
        <v>1518</v>
      </c>
      <c r="C483" s="5">
        <v>43739</v>
      </c>
      <c r="D483" s="4" t="s">
        <v>21</v>
      </c>
      <c r="E483" s="4" t="s">
        <v>2554</v>
      </c>
      <c r="F483" s="4" t="s">
        <v>3</v>
      </c>
      <c r="G483" s="4" t="s">
        <v>4</v>
      </c>
      <c r="H483" s="4" t="s">
        <v>632</v>
      </c>
      <c r="I483" s="5">
        <v>43738</v>
      </c>
      <c r="J483" s="6">
        <v>0.4895138888888889</v>
      </c>
      <c r="K483" s="5">
        <v>43740</v>
      </c>
      <c r="L483" s="4" t="s">
        <v>2256</v>
      </c>
      <c r="M483" s="4"/>
      <c r="N483" s="4" t="s">
        <v>24</v>
      </c>
      <c r="O483" s="4" t="s">
        <v>25</v>
      </c>
      <c r="P483" s="4" t="s">
        <v>2548</v>
      </c>
      <c r="Q483" s="4" t="s">
        <v>4</v>
      </c>
      <c r="R483" s="4" t="s">
        <v>4</v>
      </c>
      <c r="S483" s="4" t="s">
        <v>10</v>
      </c>
      <c r="T483" s="4"/>
      <c r="U483" s="4"/>
      <c r="V483" s="4"/>
      <c r="W483" s="4" t="s">
        <v>2258</v>
      </c>
      <c r="X483" s="4" t="s">
        <v>2555</v>
      </c>
      <c r="Y483" s="4" t="s">
        <v>2555</v>
      </c>
      <c r="Z483" s="4" t="s">
        <v>2556</v>
      </c>
      <c r="AA483" s="4" t="s">
        <v>2557</v>
      </c>
      <c r="AB483" s="4" t="s">
        <v>2558</v>
      </c>
      <c r="AC483" s="4" t="s">
        <v>2559</v>
      </c>
      <c r="AD483" s="4" t="s">
        <v>17</v>
      </c>
      <c r="AE483" s="4" t="s">
        <v>18</v>
      </c>
      <c r="AF483" s="4" t="s">
        <v>19</v>
      </c>
      <c r="AG483" s="4" t="s">
        <v>19</v>
      </c>
      <c r="AH483" s="4" t="s">
        <v>2558</v>
      </c>
    </row>
    <row r="484" spans="2:34" ht="15">
      <c r="B484" s="1" t="s">
        <v>1518</v>
      </c>
      <c r="C484" s="2">
        <v>43739</v>
      </c>
      <c r="D484" s="1" t="s">
        <v>21</v>
      </c>
      <c r="E484" s="1" t="s">
        <v>2560</v>
      </c>
      <c r="F484" s="1" t="s">
        <v>3</v>
      </c>
      <c r="G484" s="1" t="s">
        <v>4</v>
      </c>
      <c r="H484" s="1" t="s">
        <v>632</v>
      </c>
      <c r="I484" s="2">
        <v>43738</v>
      </c>
      <c r="J484" s="3">
        <v>0.6978703703703704</v>
      </c>
      <c r="K484" s="2">
        <v>43740</v>
      </c>
      <c r="L484" s="1" t="s">
        <v>2256</v>
      </c>
      <c r="M484" s="1"/>
      <c r="N484" s="1" t="s">
        <v>24</v>
      </c>
      <c r="O484" s="1" t="s">
        <v>25</v>
      </c>
      <c r="P484" s="1" t="s">
        <v>2548</v>
      </c>
      <c r="Q484" s="1" t="s">
        <v>4</v>
      </c>
      <c r="R484" s="1" t="s">
        <v>4</v>
      </c>
      <c r="S484" s="1" t="s">
        <v>10</v>
      </c>
      <c r="T484" s="1"/>
      <c r="U484" s="1"/>
      <c r="V484" s="1"/>
      <c r="W484" s="1" t="s">
        <v>2258</v>
      </c>
      <c r="X484" s="1" t="s">
        <v>2561</v>
      </c>
      <c r="Y484" s="1" t="s">
        <v>2561</v>
      </c>
      <c r="Z484" s="1" t="s">
        <v>2556</v>
      </c>
      <c r="AA484" s="1" t="s">
        <v>2562</v>
      </c>
      <c r="AB484" s="1" t="s">
        <v>2563</v>
      </c>
      <c r="AC484" s="1" t="s">
        <v>2564</v>
      </c>
      <c r="AD484" s="1" t="s">
        <v>17</v>
      </c>
      <c r="AE484" s="1" t="s">
        <v>18</v>
      </c>
      <c r="AF484" s="1" t="s">
        <v>19</v>
      </c>
      <c r="AG484" s="1" t="s">
        <v>19</v>
      </c>
      <c r="AH484" s="1" t="s">
        <v>2563</v>
      </c>
    </row>
    <row r="485" spans="2:34" ht="15">
      <c r="B485" s="4" t="s">
        <v>1524</v>
      </c>
      <c r="C485" s="5">
        <v>43739</v>
      </c>
      <c r="D485" s="4" t="s">
        <v>1</v>
      </c>
      <c r="E485" s="4" t="s">
        <v>2565</v>
      </c>
      <c r="F485" s="4" t="s">
        <v>3</v>
      </c>
      <c r="G485" s="4" t="s">
        <v>4</v>
      </c>
      <c r="H485" s="4" t="s">
        <v>632</v>
      </c>
      <c r="I485" s="5">
        <v>43738</v>
      </c>
      <c r="J485" s="6">
        <v>0.48935185185185187</v>
      </c>
      <c r="K485" s="5">
        <v>43740</v>
      </c>
      <c r="L485" s="4" t="s">
        <v>2256</v>
      </c>
      <c r="M485" s="4"/>
      <c r="N485" s="4" t="s">
        <v>24</v>
      </c>
      <c r="O485" s="4" t="s">
        <v>25</v>
      </c>
      <c r="P485" s="4" t="s">
        <v>2548</v>
      </c>
      <c r="Q485" s="4" t="s">
        <v>4</v>
      </c>
      <c r="R485" s="4" t="s">
        <v>4</v>
      </c>
      <c r="S485" s="4" t="s">
        <v>10</v>
      </c>
      <c r="T485" s="4"/>
      <c r="U485" s="4"/>
      <c r="V485" s="4"/>
      <c r="W485" s="4" t="s">
        <v>2258</v>
      </c>
      <c r="X485" s="4" t="s">
        <v>2566</v>
      </c>
      <c r="Y485" s="4" t="s">
        <v>2566</v>
      </c>
      <c r="Z485" s="4" t="s">
        <v>2550</v>
      </c>
      <c r="AA485" s="4" t="s">
        <v>2567</v>
      </c>
      <c r="AB485" s="4" t="s">
        <v>2568</v>
      </c>
      <c r="AC485" s="4" t="s">
        <v>2569</v>
      </c>
      <c r="AD485" s="4" t="s">
        <v>17</v>
      </c>
      <c r="AE485" s="4" t="s">
        <v>18</v>
      </c>
      <c r="AF485" s="4" t="s">
        <v>19</v>
      </c>
      <c r="AG485" s="4" t="s">
        <v>19</v>
      </c>
      <c r="AH485" s="4" t="s">
        <v>2568</v>
      </c>
    </row>
    <row r="486" spans="2:34" ht="15">
      <c r="B486" s="1" t="s">
        <v>1524</v>
      </c>
      <c r="C486" s="2">
        <v>43739</v>
      </c>
      <c r="D486" s="1" t="s">
        <v>1</v>
      </c>
      <c r="E486" s="1" t="s">
        <v>2570</v>
      </c>
      <c r="F486" s="1" t="s">
        <v>3</v>
      </c>
      <c r="G486" s="1" t="s">
        <v>4</v>
      </c>
      <c r="H486" s="1" t="s">
        <v>632</v>
      </c>
      <c r="I486" s="2">
        <v>43738</v>
      </c>
      <c r="J486" s="3">
        <v>0.4895138888888889</v>
      </c>
      <c r="K486" s="2">
        <v>43740</v>
      </c>
      <c r="L486" s="1" t="s">
        <v>2256</v>
      </c>
      <c r="M486" s="1"/>
      <c r="N486" s="1" t="s">
        <v>24</v>
      </c>
      <c r="O486" s="1" t="s">
        <v>25</v>
      </c>
      <c r="P486" s="1" t="s">
        <v>2548</v>
      </c>
      <c r="Q486" s="1" t="s">
        <v>4</v>
      </c>
      <c r="R486" s="1" t="s">
        <v>4</v>
      </c>
      <c r="S486" s="1" t="s">
        <v>10</v>
      </c>
      <c r="T486" s="1"/>
      <c r="U486" s="1"/>
      <c r="V486" s="1"/>
      <c r="W486" s="1" t="s">
        <v>2258</v>
      </c>
      <c r="X486" s="1" t="s">
        <v>2571</v>
      </c>
      <c r="Y486" s="1" t="s">
        <v>2571</v>
      </c>
      <c r="Z486" s="1" t="s">
        <v>2556</v>
      </c>
      <c r="AA486" s="1" t="s">
        <v>2572</v>
      </c>
      <c r="AB486" s="1" t="s">
        <v>2573</v>
      </c>
      <c r="AC486" s="1" t="s">
        <v>2574</v>
      </c>
      <c r="AD486" s="1" t="s">
        <v>17</v>
      </c>
      <c r="AE486" s="1" t="s">
        <v>18</v>
      </c>
      <c r="AF486" s="1" t="s">
        <v>19</v>
      </c>
      <c r="AG486" s="1" t="s">
        <v>19</v>
      </c>
      <c r="AH486" s="1" t="s">
        <v>2573</v>
      </c>
    </row>
    <row r="487" spans="2:34" ht="15">
      <c r="B487" s="4" t="s">
        <v>1524</v>
      </c>
      <c r="C487" s="5">
        <v>43739</v>
      </c>
      <c r="D487" s="4" t="s">
        <v>1</v>
      </c>
      <c r="E487" s="4" t="s">
        <v>2575</v>
      </c>
      <c r="F487" s="4" t="s">
        <v>3</v>
      </c>
      <c r="G487" s="4" t="s">
        <v>4</v>
      </c>
      <c r="H487" s="4" t="s">
        <v>632</v>
      </c>
      <c r="I487" s="5">
        <v>43738</v>
      </c>
      <c r="J487" s="6">
        <v>0.6978703703703704</v>
      </c>
      <c r="K487" s="5">
        <v>43740</v>
      </c>
      <c r="L487" s="4" t="s">
        <v>2256</v>
      </c>
      <c r="M487" s="4"/>
      <c r="N487" s="4" t="s">
        <v>24</v>
      </c>
      <c r="O487" s="4" t="s">
        <v>25</v>
      </c>
      <c r="P487" s="4" t="s">
        <v>2548</v>
      </c>
      <c r="Q487" s="4" t="s">
        <v>4</v>
      </c>
      <c r="R487" s="4" t="s">
        <v>4</v>
      </c>
      <c r="S487" s="4" t="s">
        <v>10</v>
      </c>
      <c r="T487" s="4"/>
      <c r="U487" s="4"/>
      <c r="V487" s="4"/>
      <c r="W487" s="4" t="s">
        <v>2258</v>
      </c>
      <c r="X487" s="4" t="s">
        <v>2576</v>
      </c>
      <c r="Y487" s="4" t="s">
        <v>2576</v>
      </c>
      <c r="Z487" s="4" t="s">
        <v>2556</v>
      </c>
      <c r="AA487" s="4" t="s">
        <v>2577</v>
      </c>
      <c r="AB487" s="4" t="s">
        <v>2578</v>
      </c>
      <c r="AC487" s="4" t="s">
        <v>2579</v>
      </c>
      <c r="AD487" s="4" t="s">
        <v>17</v>
      </c>
      <c r="AE487" s="4" t="s">
        <v>18</v>
      </c>
      <c r="AF487" s="4" t="s">
        <v>19</v>
      </c>
      <c r="AG487" s="4" t="s">
        <v>19</v>
      </c>
      <c r="AH487" s="4" t="s">
        <v>2578</v>
      </c>
    </row>
    <row r="488" spans="2:34" ht="15">
      <c r="B488" s="1" t="s">
        <v>1518</v>
      </c>
      <c r="C488" s="2">
        <v>43741</v>
      </c>
      <c r="D488" s="1" t="s">
        <v>21</v>
      </c>
      <c r="E488" s="1" t="s">
        <v>2580</v>
      </c>
      <c r="F488" s="1" t="s">
        <v>3</v>
      </c>
      <c r="G488" s="1" t="s">
        <v>4</v>
      </c>
      <c r="H488" s="1" t="s">
        <v>119</v>
      </c>
      <c r="I488" s="2">
        <v>43740</v>
      </c>
      <c r="J488" s="3">
        <v>0.5278587962962963</v>
      </c>
      <c r="K488" s="2">
        <v>43742</v>
      </c>
      <c r="L488" s="1" t="s">
        <v>2256</v>
      </c>
      <c r="M488" s="1"/>
      <c r="N488" s="1" t="s">
        <v>288</v>
      </c>
      <c r="O488" s="1" t="s">
        <v>289</v>
      </c>
      <c r="P488" s="1" t="s">
        <v>2274</v>
      </c>
      <c r="Q488" s="1" t="s">
        <v>4</v>
      </c>
      <c r="R488" s="1" t="s">
        <v>4</v>
      </c>
      <c r="S488" s="1" t="s">
        <v>10</v>
      </c>
      <c r="T488" s="1"/>
      <c r="U488" s="1"/>
      <c r="V488" s="1"/>
      <c r="W488" s="1" t="s">
        <v>1963</v>
      </c>
      <c r="X488" s="1" t="s">
        <v>2581</v>
      </c>
      <c r="Y488" s="1" t="s">
        <v>2581</v>
      </c>
      <c r="Z488" s="1" t="s">
        <v>517</v>
      </c>
      <c r="AA488" s="1" t="s">
        <v>2582</v>
      </c>
      <c r="AB488" s="1" t="s">
        <v>2583</v>
      </c>
      <c r="AC488" s="1" t="s">
        <v>2584</v>
      </c>
      <c r="AD488" s="1" t="s">
        <v>17</v>
      </c>
      <c r="AE488" s="1" t="s">
        <v>18</v>
      </c>
      <c r="AF488" s="1" t="s">
        <v>19</v>
      </c>
      <c r="AG488" s="1" t="s">
        <v>19</v>
      </c>
      <c r="AH488" s="1" t="s">
        <v>2583</v>
      </c>
    </row>
    <row r="489" spans="2:34" ht="15">
      <c r="B489" s="4" t="s">
        <v>1518</v>
      </c>
      <c r="C489" s="5">
        <v>43741</v>
      </c>
      <c r="D489" s="4" t="s">
        <v>21</v>
      </c>
      <c r="E489" s="4" t="s">
        <v>2585</v>
      </c>
      <c r="F489" s="4" t="s">
        <v>3</v>
      </c>
      <c r="G489" s="4" t="s">
        <v>4</v>
      </c>
      <c r="H489" s="4" t="s">
        <v>119</v>
      </c>
      <c r="I489" s="5">
        <v>43740</v>
      </c>
      <c r="J489" s="6">
        <v>0.5059606481481481</v>
      </c>
      <c r="K489" s="5">
        <v>43742</v>
      </c>
      <c r="L489" s="4" t="s">
        <v>2256</v>
      </c>
      <c r="M489" s="4"/>
      <c r="N489" s="4" t="s">
        <v>977</v>
      </c>
      <c r="O489" s="4" t="s">
        <v>978</v>
      </c>
      <c r="P489" s="4" t="s">
        <v>2453</v>
      </c>
      <c r="Q489" s="4" t="s">
        <v>4</v>
      </c>
      <c r="R489" s="4" t="s">
        <v>4</v>
      </c>
      <c r="S489" s="4" t="s">
        <v>10</v>
      </c>
      <c r="T489" s="4"/>
      <c r="U489" s="4"/>
      <c r="V489" s="4"/>
      <c r="W489" s="4" t="s">
        <v>1963</v>
      </c>
      <c r="X489" s="4" t="s">
        <v>2586</v>
      </c>
      <c r="Y489" s="4" t="s">
        <v>2586</v>
      </c>
      <c r="Z489" s="4" t="s">
        <v>2587</v>
      </c>
      <c r="AA489" s="4" t="s">
        <v>2588</v>
      </c>
      <c r="AB489" s="4" t="s">
        <v>2589</v>
      </c>
      <c r="AC489" s="4" t="s">
        <v>2590</v>
      </c>
      <c r="AD489" s="4" t="s">
        <v>17</v>
      </c>
      <c r="AE489" s="4" t="s">
        <v>2591</v>
      </c>
      <c r="AF489" s="4" t="s">
        <v>19</v>
      </c>
      <c r="AG489" s="4" t="s">
        <v>19</v>
      </c>
      <c r="AH489" s="4" t="s">
        <v>2589</v>
      </c>
    </row>
    <row r="490" spans="2:34" ht="15">
      <c r="B490" s="1" t="s">
        <v>153</v>
      </c>
      <c r="C490" s="2">
        <v>43741</v>
      </c>
      <c r="D490" s="1" t="s">
        <v>154</v>
      </c>
      <c r="E490" s="1" t="s">
        <v>2592</v>
      </c>
      <c r="F490" s="1" t="s">
        <v>3</v>
      </c>
      <c r="G490" s="1" t="s">
        <v>4</v>
      </c>
      <c r="H490" s="1" t="s">
        <v>119</v>
      </c>
      <c r="I490" s="2">
        <v>43740</v>
      </c>
      <c r="J490" s="3">
        <v>0.5278587962962963</v>
      </c>
      <c r="K490" s="2">
        <v>43742</v>
      </c>
      <c r="L490" s="1" t="s">
        <v>2256</v>
      </c>
      <c r="M490" s="1"/>
      <c r="N490" s="1" t="s">
        <v>288</v>
      </c>
      <c r="O490" s="1" t="s">
        <v>289</v>
      </c>
      <c r="P490" s="1" t="s">
        <v>2274</v>
      </c>
      <c r="Q490" s="1" t="s">
        <v>4</v>
      </c>
      <c r="R490" s="1" t="s">
        <v>4</v>
      </c>
      <c r="S490" s="1" t="s">
        <v>10</v>
      </c>
      <c r="T490" s="1"/>
      <c r="U490" s="1"/>
      <c r="V490" s="1"/>
      <c r="W490" s="1" t="s">
        <v>1963</v>
      </c>
      <c r="X490" s="1" t="s">
        <v>2593</v>
      </c>
      <c r="Y490" s="1" t="s">
        <v>2593</v>
      </c>
      <c r="Z490" s="1" t="s">
        <v>517</v>
      </c>
      <c r="AA490" s="1" t="s">
        <v>2594</v>
      </c>
      <c r="AB490" s="1" t="s">
        <v>2595</v>
      </c>
      <c r="AC490" s="1" t="s">
        <v>2596</v>
      </c>
      <c r="AD490" s="1" t="s">
        <v>17</v>
      </c>
      <c r="AE490" s="1" t="s">
        <v>18</v>
      </c>
      <c r="AF490" s="1" t="s">
        <v>19</v>
      </c>
      <c r="AG490" s="1" t="s">
        <v>19</v>
      </c>
      <c r="AH490" s="1" t="s">
        <v>2595</v>
      </c>
    </row>
    <row r="491" spans="2:34" ht="15">
      <c r="B491" s="4" t="s">
        <v>1518</v>
      </c>
      <c r="C491" s="5">
        <v>43745</v>
      </c>
      <c r="D491" s="4" t="s">
        <v>21</v>
      </c>
      <c r="E491" s="4" t="s">
        <v>2597</v>
      </c>
      <c r="F491" s="4" t="s">
        <v>3</v>
      </c>
      <c r="G491" s="4" t="s">
        <v>4</v>
      </c>
      <c r="H491" s="4" t="s">
        <v>632</v>
      </c>
      <c r="I491" s="5">
        <v>43742</v>
      </c>
      <c r="J491" s="6">
        <v>0.6599884259259259</v>
      </c>
      <c r="K491" s="5">
        <v>43746</v>
      </c>
      <c r="L491" s="4" t="s">
        <v>2256</v>
      </c>
      <c r="M491" s="4"/>
      <c r="N491" s="4" t="s">
        <v>2598</v>
      </c>
      <c r="O491" s="4" t="s">
        <v>2599</v>
      </c>
      <c r="P491" s="4" t="s">
        <v>2600</v>
      </c>
      <c r="Q491" s="4" t="s">
        <v>4</v>
      </c>
      <c r="R491" s="4" t="s">
        <v>4</v>
      </c>
      <c r="S491" s="4" t="s">
        <v>10</v>
      </c>
      <c r="T491" s="4"/>
      <c r="U491" s="4"/>
      <c r="V491" s="4"/>
      <c r="W491" s="4" t="s">
        <v>2258</v>
      </c>
      <c r="X491" s="4" t="s">
        <v>2601</v>
      </c>
      <c r="Y491" s="4" t="s">
        <v>2601</v>
      </c>
      <c r="Z491" s="4" t="s">
        <v>2352</v>
      </c>
      <c r="AA491" s="4" t="s">
        <v>2602</v>
      </c>
      <c r="AB491" s="4" t="s">
        <v>2603</v>
      </c>
      <c r="AC491" s="4" t="s">
        <v>2604</v>
      </c>
      <c r="AD491" s="4" t="s">
        <v>17</v>
      </c>
      <c r="AE491" s="4" t="s">
        <v>18</v>
      </c>
      <c r="AF491" s="4" t="s">
        <v>19</v>
      </c>
      <c r="AG491" s="4" t="s">
        <v>19</v>
      </c>
      <c r="AH491" s="4" t="s">
        <v>2603</v>
      </c>
    </row>
    <row r="492" spans="2:34" ht="15">
      <c r="B492" s="1" t="s">
        <v>1518</v>
      </c>
      <c r="C492" s="2">
        <v>43745</v>
      </c>
      <c r="D492" s="1" t="s">
        <v>21</v>
      </c>
      <c r="E492" s="1" t="s">
        <v>2605</v>
      </c>
      <c r="F492" s="1" t="s">
        <v>3</v>
      </c>
      <c r="G492" s="1" t="s">
        <v>4</v>
      </c>
      <c r="H492" s="1" t="s">
        <v>2606</v>
      </c>
      <c r="I492" s="2">
        <v>43742</v>
      </c>
      <c r="J492" s="3">
        <v>0.6229166666666667</v>
      </c>
      <c r="K492" s="2">
        <v>43746</v>
      </c>
      <c r="L492" s="1" t="s">
        <v>2256</v>
      </c>
      <c r="M492" s="1"/>
      <c r="N492" s="1" t="s">
        <v>401</v>
      </c>
      <c r="O492" s="1" t="s">
        <v>402</v>
      </c>
      <c r="P492" s="1" t="s">
        <v>2607</v>
      </c>
      <c r="Q492" s="1" t="s">
        <v>4</v>
      </c>
      <c r="R492" s="1" t="s">
        <v>4</v>
      </c>
      <c r="S492" s="1" t="s">
        <v>10</v>
      </c>
      <c r="T492" s="1"/>
      <c r="U492" s="1"/>
      <c r="V492" s="1"/>
      <c r="W492" s="1" t="s">
        <v>1963</v>
      </c>
      <c r="X492" s="1" t="s">
        <v>2608</v>
      </c>
      <c r="Y492" s="1" t="s">
        <v>2608</v>
      </c>
      <c r="Z492" s="1" t="s">
        <v>95</v>
      </c>
      <c r="AA492" s="1" t="s">
        <v>2609</v>
      </c>
      <c r="AB492" s="1" t="s">
        <v>2610</v>
      </c>
      <c r="AC492" s="1" t="s">
        <v>2611</v>
      </c>
      <c r="AD492" s="1" t="s">
        <v>17</v>
      </c>
      <c r="AE492" s="1" t="s">
        <v>18</v>
      </c>
      <c r="AF492" s="1" t="s">
        <v>19</v>
      </c>
      <c r="AG492" s="1" t="s">
        <v>19</v>
      </c>
      <c r="AH492" s="1" t="s">
        <v>2610</v>
      </c>
    </row>
    <row r="493" spans="2:34" ht="15">
      <c r="B493" s="4" t="s">
        <v>1524</v>
      </c>
      <c r="C493" s="5">
        <v>43745</v>
      </c>
      <c r="D493" s="4" t="s">
        <v>1</v>
      </c>
      <c r="E493" s="4" t="s">
        <v>2612</v>
      </c>
      <c r="F493" s="4" t="s">
        <v>3</v>
      </c>
      <c r="G493" s="4" t="s">
        <v>4</v>
      </c>
      <c r="H493" s="4" t="s">
        <v>2606</v>
      </c>
      <c r="I493" s="5">
        <v>43742</v>
      </c>
      <c r="J493" s="6">
        <v>0.6229166666666667</v>
      </c>
      <c r="K493" s="5">
        <v>43746</v>
      </c>
      <c r="L493" s="4" t="s">
        <v>2256</v>
      </c>
      <c r="M493" s="4"/>
      <c r="N493" s="4" t="s">
        <v>401</v>
      </c>
      <c r="O493" s="4" t="s">
        <v>402</v>
      </c>
      <c r="P493" s="4" t="s">
        <v>2607</v>
      </c>
      <c r="Q493" s="4" t="s">
        <v>4</v>
      </c>
      <c r="R493" s="4" t="s">
        <v>4</v>
      </c>
      <c r="S493" s="4" t="s">
        <v>10</v>
      </c>
      <c r="T493" s="4"/>
      <c r="U493" s="4"/>
      <c r="V493" s="4"/>
      <c r="W493" s="4" t="s">
        <v>1963</v>
      </c>
      <c r="X493" s="4" t="s">
        <v>2613</v>
      </c>
      <c r="Y493" s="4" t="s">
        <v>2613</v>
      </c>
      <c r="Z493" s="4" t="s">
        <v>95</v>
      </c>
      <c r="AA493" s="4" t="s">
        <v>2614</v>
      </c>
      <c r="AB493" s="4" t="s">
        <v>2615</v>
      </c>
      <c r="AC493" s="4" t="s">
        <v>2616</v>
      </c>
      <c r="AD493" s="4" t="s">
        <v>17</v>
      </c>
      <c r="AE493" s="4" t="s">
        <v>18</v>
      </c>
      <c r="AF493" s="4" t="s">
        <v>19</v>
      </c>
      <c r="AG493" s="4" t="s">
        <v>19</v>
      </c>
      <c r="AH493" s="4" t="s">
        <v>2615</v>
      </c>
    </row>
    <row r="494" spans="2:34" ht="15">
      <c r="B494" s="1" t="s">
        <v>153</v>
      </c>
      <c r="C494" s="2">
        <v>43745</v>
      </c>
      <c r="D494" s="1" t="s">
        <v>154</v>
      </c>
      <c r="E494" s="1" t="s">
        <v>2617</v>
      </c>
      <c r="F494" s="1" t="s">
        <v>3</v>
      </c>
      <c r="G494" s="1" t="s">
        <v>4</v>
      </c>
      <c r="H494" s="1" t="s">
        <v>2606</v>
      </c>
      <c r="I494" s="2">
        <v>43742</v>
      </c>
      <c r="J494" s="3">
        <v>0.6229166666666667</v>
      </c>
      <c r="K494" s="2">
        <v>43746</v>
      </c>
      <c r="L494" s="1" t="s">
        <v>2256</v>
      </c>
      <c r="M494" s="1"/>
      <c r="N494" s="1" t="s">
        <v>401</v>
      </c>
      <c r="O494" s="1" t="s">
        <v>402</v>
      </c>
      <c r="P494" s="1" t="s">
        <v>2607</v>
      </c>
      <c r="Q494" s="1" t="s">
        <v>4</v>
      </c>
      <c r="R494" s="1" t="s">
        <v>4</v>
      </c>
      <c r="S494" s="1" t="s">
        <v>10</v>
      </c>
      <c r="T494" s="1"/>
      <c r="U494" s="1"/>
      <c r="V494" s="1"/>
      <c r="W494" s="1" t="s">
        <v>1963</v>
      </c>
      <c r="X494" s="1" t="s">
        <v>2618</v>
      </c>
      <c r="Y494" s="1" t="s">
        <v>2618</v>
      </c>
      <c r="Z494" s="1" t="s">
        <v>95</v>
      </c>
      <c r="AA494" s="1" t="s">
        <v>2619</v>
      </c>
      <c r="AB494" s="1" t="s">
        <v>2620</v>
      </c>
      <c r="AC494" s="1" t="s">
        <v>2621</v>
      </c>
      <c r="AD494" s="1" t="s">
        <v>17</v>
      </c>
      <c r="AE494" s="1" t="s">
        <v>18</v>
      </c>
      <c r="AF494" s="1" t="s">
        <v>19</v>
      </c>
      <c r="AG494" s="1" t="s">
        <v>19</v>
      </c>
      <c r="AH494" s="1" t="s">
        <v>2620</v>
      </c>
    </row>
    <row r="495" spans="2:34" ht="15">
      <c r="B495" s="4" t="s">
        <v>153</v>
      </c>
      <c r="C495" s="5">
        <v>43748</v>
      </c>
      <c r="D495" s="4" t="s">
        <v>154</v>
      </c>
      <c r="E495" s="4" t="s">
        <v>2622</v>
      </c>
      <c r="F495" s="4" t="s">
        <v>3</v>
      </c>
      <c r="G495" s="4" t="s">
        <v>4</v>
      </c>
      <c r="H495" s="4" t="s">
        <v>109</v>
      </c>
      <c r="I495" s="5">
        <v>43747</v>
      </c>
      <c r="J495" s="6">
        <v>0.45902777777777776</v>
      </c>
      <c r="K495" s="5">
        <v>43749</v>
      </c>
      <c r="L495" s="4" t="s">
        <v>2256</v>
      </c>
      <c r="M495" s="4"/>
      <c r="N495" s="4" t="s">
        <v>232</v>
      </c>
      <c r="O495" s="4" t="s">
        <v>233</v>
      </c>
      <c r="P495" s="4" t="s">
        <v>2389</v>
      </c>
      <c r="Q495" s="4" t="s">
        <v>4</v>
      </c>
      <c r="R495" s="4" t="s">
        <v>4</v>
      </c>
      <c r="S495" s="4" t="s">
        <v>10</v>
      </c>
      <c r="T495" s="4"/>
      <c r="U495" s="4"/>
      <c r="V495" s="4"/>
      <c r="W495" s="4" t="s">
        <v>2258</v>
      </c>
      <c r="X495" s="4" t="s">
        <v>727</v>
      </c>
      <c r="Y495" s="4" t="s">
        <v>727</v>
      </c>
      <c r="Z495" s="4" t="s">
        <v>2623</v>
      </c>
      <c r="AA495" s="4" t="s">
        <v>2624</v>
      </c>
      <c r="AB495" s="4" t="s">
        <v>2625</v>
      </c>
      <c r="AC495" s="4" t="s">
        <v>2626</v>
      </c>
      <c r="AD495" s="4" t="s">
        <v>17</v>
      </c>
      <c r="AE495" s="4" t="s">
        <v>18</v>
      </c>
      <c r="AF495" s="4" t="s">
        <v>19</v>
      </c>
      <c r="AG495" s="4" t="s">
        <v>19</v>
      </c>
      <c r="AH495" s="4" t="s">
        <v>2625</v>
      </c>
    </row>
    <row r="496" spans="2:34" ht="15">
      <c r="B496" s="1" t="s">
        <v>1518</v>
      </c>
      <c r="C496" s="2">
        <v>43749</v>
      </c>
      <c r="D496" s="1" t="s">
        <v>21</v>
      </c>
      <c r="E496" s="1" t="s">
        <v>2627</v>
      </c>
      <c r="F496" s="1" t="s">
        <v>3</v>
      </c>
      <c r="G496" s="1" t="s">
        <v>4</v>
      </c>
      <c r="H496" s="1" t="s">
        <v>119</v>
      </c>
      <c r="I496" s="2">
        <v>43748</v>
      </c>
      <c r="J496" s="3">
        <v>0.5575462962962963</v>
      </c>
      <c r="K496" s="2">
        <v>43752</v>
      </c>
      <c r="L496" s="1" t="s">
        <v>2256</v>
      </c>
      <c r="M496" s="1"/>
      <c r="N496" s="1" t="s">
        <v>977</v>
      </c>
      <c r="O496" s="1" t="s">
        <v>978</v>
      </c>
      <c r="P496" s="1" t="s">
        <v>2453</v>
      </c>
      <c r="Q496" s="1" t="s">
        <v>4</v>
      </c>
      <c r="R496" s="1" t="s">
        <v>4</v>
      </c>
      <c r="S496" s="1" t="s">
        <v>10</v>
      </c>
      <c r="T496" s="1"/>
      <c r="U496" s="1"/>
      <c r="V496" s="1"/>
      <c r="W496" s="1" t="s">
        <v>1963</v>
      </c>
      <c r="X496" s="1" t="s">
        <v>2628</v>
      </c>
      <c r="Y496" s="1" t="s">
        <v>2628</v>
      </c>
      <c r="Z496" s="1" t="s">
        <v>2629</v>
      </c>
      <c r="AA496" s="1" t="s">
        <v>2630</v>
      </c>
      <c r="AB496" s="1" t="s">
        <v>2631</v>
      </c>
      <c r="AC496" s="1" t="s">
        <v>2632</v>
      </c>
      <c r="AD496" s="1" t="s">
        <v>17</v>
      </c>
      <c r="AE496" s="1" t="s">
        <v>2633</v>
      </c>
      <c r="AF496" s="1" t="s">
        <v>19</v>
      </c>
      <c r="AG496" s="1" t="s">
        <v>19</v>
      </c>
      <c r="AH496" s="1" t="s">
        <v>2631</v>
      </c>
    </row>
    <row r="497" spans="2:34" ht="15">
      <c r="B497" s="4" t="s">
        <v>1524</v>
      </c>
      <c r="C497" s="5">
        <v>43762</v>
      </c>
      <c r="D497" s="4" t="s">
        <v>1</v>
      </c>
      <c r="E497" s="4" t="s">
        <v>2634</v>
      </c>
      <c r="F497" s="4" t="s">
        <v>3</v>
      </c>
      <c r="G497" s="4" t="s">
        <v>4</v>
      </c>
      <c r="H497" s="4" t="s">
        <v>183</v>
      </c>
      <c r="I497" s="5">
        <v>43761</v>
      </c>
      <c r="J497" s="6">
        <v>0.6475115740740741</v>
      </c>
      <c r="K497" s="5">
        <v>43763</v>
      </c>
      <c r="L497" s="4" t="s">
        <v>2256</v>
      </c>
      <c r="M497" s="4"/>
      <c r="N497" s="4" t="s">
        <v>2635</v>
      </c>
      <c r="O497" s="4" t="s">
        <v>2636</v>
      </c>
      <c r="P497" s="4" t="s">
        <v>2637</v>
      </c>
      <c r="Q497" s="4" t="s">
        <v>4</v>
      </c>
      <c r="R497" s="4" t="s">
        <v>4</v>
      </c>
      <c r="S497" s="4" t="s">
        <v>10</v>
      </c>
      <c r="T497" s="4"/>
      <c r="U497" s="4"/>
      <c r="V497" s="4"/>
      <c r="W497" s="4" t="s">
        <v>1963</v>
      </c>
      <c r="X497" s="4" t="s">
        <v>197</v>
      </c>
      <c r="Y497" s="4" t="s">
        <v>197</v>
      </c>
      <c r="Z497" s="4" t="s">
        <v>2638</v>
      </c>
      <c r="AA497" s="4" t="s">
        <v>2639</v>
      </c>
      <c r="AB497" s="4" t="s">
        <v>2640</v>
      </c>
      <c r="AC497" s="4" t="s">
        <v>2641</v>
      </c>
      <c r="AD497" s="4" t="s">
        <v>17</v>
      </c>
      <c r="AE497" s="4" t="s">
        <v>18</v>
      </c>
      <c r="AF497" s="4" t="s">
        <v>19</v>
      </c>
      <c r="AG497" s="4" t="s">
        <v>19</v>
      </c>
      <c r="AH497" s="4" t="s">
        <v>2640</v>
      </c>
    </row>
    <row r="498" spans="2:34" ht="15">
      <c r="B498" s="1" t="s">
        <v>1518</v>
      </c>
      <c r="C498" s="2">
        <v>43763</v>
      </c>
      <c r="D498" s="1" t="s">
        <v>21</v>
      </c>
      <c r="E498" s="1" t="s">
        <v>2642</v>
      </c>
      <c r="F498" s="1" t="s">
        <v>3</v>
      </c>
      <c r="G498" s="1" t="s">
        <v>4</v>
      </c>
      <c r="H498" s="1" t="s">
        <v>104</v>
      </c>
      <c r="I498" s="2">
        <v>43761</v>
      </c>
      <c r="J498" s="3">
        <v>0.375</v>
      </c>
      <c r="K498" s="2">
        <v>43763</v>
      </c>
      <c r="L498" s="1" t="s">
        <v>2256</v>
      </c>
      <c r="M498" s="1"/>
      <c r="N498" s="1" t="s">
        <v>876</v>
      </c>
      <c r="O498" s="1" t="s">
        <v>877</v>
      </c>
      <c r="P498" s="1" t="s">
        <v>2332</v>
      </c>
      <c r="Q498" s="1" t="s">
        <v>4</v>
      </c>
      <c r="R498" s="1" t="s">
        <v>85</v>
      </c>
      <c r="S498" s="1" t="s">
        <v>4</v>
      </c>
      <c r="T498" s="1"/>
      <c r="U498" s="1"/>
      <c r="V498" s="1"/>
      <c r="W498" s="1" t="s">
        <v>1963</v>
      </c>
      <c r="X498" s="1" t="s">
        <v>2643</v>
      </c>
      <c r="Y498" s="1" t="s">
        <v>2643</v>
      </c>
      <c r="Z498" s="1" t="s">
        <v>2644</v>
      </c>
      <c r="AA498" s="1" t="s">
        <v>2645</v>
      </c>
      <c r="AB498" s="1" t="s">
        <v>2645</v>
      </c>
      <c r="AC498" s="1" t="s">
        <v>17</v>
      </c>
      <c r="AD498" s="1" t="s">
        <v>17</v>
      </c>
      <c r="AE498" s="1" t="s">
        <v>17</v>
      </c>
      <c r="AF498" s="1" t="s">
        <v>19</v>
      </c>
      <c r="AG498" s="1" t="s">
        <v>19</v>
      </c>
      <c r="AH498" s="1" t="s">
        <v>2645</v>
      </c>
    </row>
    <row r="499" spans="2:34" ht="15">
      <c r="B499" s="4" t="s">
        <v>1524</v>
      </c>
      <c r="C499" s="5">
        <v>43763</v>
      </c>
      <c r="D499" s="4" t="s">
        <v>1</v>
      </c>
      <c r="E499" s="4" t="s">
        <v>2646</v>
      </c>
      <c r="F499" s="4" t="s">
        <v>3</v>
      </c>
      <c r="G499" s="4" t="s">
        <v>4</v>
      </c>
      <c r="H499" s="4" t="s">
        <v>183</v>
      </c>
      <c r="I499" s="5">
        <v>43762</v>
      </c>
      <c r="J499" s="6">
        <v>0.4618055555555556</v>
      </c>
      <c r="K499" s="5">
        <v>43766</v>
      </c>
      <c r="L499" s="4"/>
      <c r="M499" s="4"/>
      <c r="N499" s="4" t="s">
        <v>2635</v>
      </c>
      <c r="O499" s="4" t="s">
        <v>2636</v>
      </c>
      <c r="P499" s="4" t="s">
        <v>2637</v>
      </c>
      <c r="Q499" s="4" t="s">
        <v>4</v>
      </c>
      <c r="R499" s="4" t="s">
        <v>4</v>
      </c>
      <c r="S499" s="4" t="s">
        <v>10</v>
      </c>
      <c r="T499" s="4"/>
      <c r="U499" s="4"/>
      <c r="V499" s="4"/>
      <c r="W499" s="4" t="s">
        <v>1963</v>
      </c>
      <c r="X499" s="4" t="s">
        <v>611</v>
      </c>
      <c r="Y499" s="4" t="s">
        <v>611</v>
      </c>
      <c r="Z499" s="4" t="s">
        <v>2638</v>
      </c>
      <c r="AA499" s="4" t="s">
        <v>2647</v>
      </c>
      <c r="AB499" s="4" t="s">
        <v>2648</v>
      </c>
      <c r="AC499" s="4" t="s">
        <v>2649</v>
      </c>
      <c r="AD499" s="4" t="s">
        <v>17</v>
      </c>
      <c r="AE499" s="4" t="s">
        <v>18</v>
      </c>
      <c r="AF499" s="4" t="s">
        <v>19</v>
      </c>
      <c r="AG499" s="4" t="s">
        <v>19</v>
      </c>
      <c r="AH499" s="4" t="s">
        <v>2648</v>
      </c>
    </row>
    <row r="500" spans="2:34" ht="15">
      <c r="B500" s="11" t="s">
        <v>1524</v>
      </c>
      <c r="C500" s="12">
        <v>43763</v>
      </c>
      <c r="D500" s="11" t="s">
        <v>1</v>
      </c>
      <c r="E500" s="11" t="s">
        <v>2650</v>
      </c>
      <c r="F500" s="11" t="s">
        <v>3</v>
      </c>
      <c r="G500" s="11" t="s">
        <v>4</v>
      </c>
      <c r="H500" s="11" t="s">
        <v>183</v>
      </c>
      <c r="I500" s="12">
        <v>43762</v>
      </c>
      <c r="J500" s="13">
        <v>0.6341782407407407</v>
      </c>
      <c r="K500" s="12">
        <v>43766</v>
      </c>
      <c r="L500" s="11"/>
      <c r="M500" s="11"/>
      <c r="N500" s="11" t="s">
        <v>2635</v>
      </c>
      <c r="O500" s="11" t="s">
        <v>2636</v>
      </c>
      <c r="P500" s="11" t="s">
        <v>2637</v>
      </c>
      <c r="Q500" s="11" t="s">
        <v>4</v>
      </c>
      <c r="R500" s="11" t="s">
        <v>4</v>
      </c>
      <c r="S500" s="11" t="s">
        <v>10</v>
      </c>
      <c r="T500" s="11"/>
      <c r="U500" s="11"/>
      <c r="V500" s="11"/>
      <c r="W500" s="11" t="s">
        <v>1963</v>
      </c>
      <c r="X500" s="11" t="s">
        <v>2651</v>
      </c>
      <c r="Y500" s="11" t="s">
        <v>2651</v>
      </c>
      <c r="Z500" s="11" t="s">
        <v>2638</v>
      </c>
      <c r="AA500" s="11" t="s">
        <v>2652</v>
      </c>
      <c r="AB500" s="11" t="s">
        <v>2653</v>
      </c>
      <c r="AC500" s="11" t="s">
        <v>2638</v>
      </c>
      <c r="AD500" s="11" t="s">
        <v>17</v>
      </c>
      <c r="AE500" s="11" t="s">
        <v>18</v>
      </c>
      <c r="AF500" s="11" t="s">
        <v>19</v>
      </c>
      <c r="AG500" s="11" t="s">
        <v>19</v>
      </c>
      <c r="AH500" s="11" t="s">
        <v>2653</v>
      </c>
    </row>
    <row r="501" spans="2:34" ht="15">
      <c r="B501" s="1" t="s">
        <v>1518</v>
      </c>
      <c r="C501" s="2">
        <v>43774</v>
      </c>
      <c r="D501" s="1" t="s">
        <v>21</v>
      </c>
      <c r="E501" s="1" t="s">
        <v>2654</v>
      </c>
      <c r="F501" s="1" t="s">
        <v>3</v>
      </c>
      <c r="G501" s="1" t="s">
        <v>4</v>
      </c>
      <c r="H501" s="1" t="s">
        <v>119</v>
      </c>
      <c r="I501" s="2">
        <v>43773</v>
      </c>
      <c r="J501" s="3">
        <v>0.6853472222222222</v>
      </c>
      <c r="K501" s="2">
        <v>43775</v>
      </c>
      <c r="L501" s="1" t="s">
        <v>2256</v>
      </c>
      <c r="M501" s="1"/>
      <c r="N501" s="1" t="s">
        <v>1967</v>
      </c>
      <c r="O501" s="1" t="s">
        <v>1954</v>
      </c>
      <c r="P501" s="1" t="s">
        <v>2655</v>
      </c>
      <c r="Q501" s="1" t="s">
        <v>4</v>
      </c>
      <c r="R501" s="1" t="s">
        <v>4</v>
      </c>
      <c r="S501" s="1" t="s">
        <v>10</v>
      </c>
      <c r="T501" s="1"/>
      <c r="U501" s="1"/>
      <c r="V501" s="1"/>
      <c r="W501" s="1" t="s">
        <v>2258</v>
      </c>
      <c r="X501" s="1" t="s">
        <v>2656</v>
      </c>
      <c r="Y501" s="1" t="s">
        <v>2656</v>
      </c>
      <c r="Z501" s="1" t="s">
        <v>2657</v>
      </c>
      <c r="AA501" s="1" t="s">
        <v>2658</v>
      </c>
      <c r="AB501" s="1" t="s">
        <v>2659</v>
      </c>
      <c r="AC501" s="1" t="s">
        <v>2660</v>
      </c>
      <c r="AD501" s="1" t="s">
        <v>17</v>
      </c>
      <c r="AE501" s="1" t="s">
        <v>18</v>
      </c>
      <c r="AF501" s="1" t="s">
        <v>19</v>
      </c>
      <c r="AG501" s="1" t="s">
        <v>19</v>
      </c>
      <c r="AH501" s="1" t="s">
        <v>2659</v>
      </c>
    </row>
    <row r="502" spans="2:34" ht="15">
      <c r="B502" s="4" t="s">
        <v>1524</v>
      </c>
      <c r="C502" s="5">
        <v>43774</v>
      </c>
      <c r="D502" s="4" t="s">
        <v>1</v>
      </c>
      <c r="E502" s="4" t="s">
        <v>2661</v>
      </c>
      <c r="F502" s="4" t="s">
        <v>3</v>
      </c>
      <c r="G502" s="4" t="s">
        <v>4</v>
      </c>
      <c r="H502" s="4" t="s">
        <v>119</v>
      </c>
      <c r="I502" s="5">
        <v>43773</v>
      </c>
      <c r="J502" s="6">
        <v>0.6853472222222222</v>
      </c>
      <c r="K502" s="5">
        <v>43775</v>
      </c>
      <c r="L502" s="4" t="s">
        <v>2256</v>
      </c>
      <c r="M502" s="4"/>
      <c r="N502" s="4" t="s">
        <v>1967</v>
      </c>
      <c r="O502" s="4" t="s">
        <v>1954</v>
      </c>
      <c r="P502" s="4" t="s">
        <v>2655</v>
      </c>
      <c r="Q502" s="4" t="s">
        <v>4</v>
      </c>
      <c r="R502" s="4" t="s">
        <v>4</v>
      </c>
      <c r="S502" s="4" t="s">
        <v>10</v>
      </c>
      <c r="T502" s="4"/>
      <c r="U502" s="4"/>
      <c r="V502" s="4"/>
      <c r="W502" s="4" t="s">
        <v>2258</v>
      </c>
      <c r="X502" s="4" t="s">
        <v>2662</v>
      </c>
      <c r="Y502" s="4" t="s">
        <v>2662</v>
      </c>
      <c r="Z502" s="4" t="s">
        <v>2657</v>
      </c>
      <c r="AA502" s="4" t="s">
        <v>2663</v>
      </c>
      <c r="AB502" s="4" t="s">
        <v>2664</v>
      </c>
      <c r="AC502" s="4" t="s">
        <v>2665</v>
      </c>
      <c r="AD502" s="4" t="s">
        <v>17</v>
      </c>
      <c r="AE502" s="4" t="s">
        <v>18</v>
      </c>
      <c r="AF502" s="4" t="s">
        <v>19</v>
      </c>
      <c r="AG502" s="4" t="s">
        <v>19</v>
      </c>
      <c r="AH502" s="4" t="s">
        <v>2664</v>
      </c>
    </row>
    <row r="503" spans="2:34" ht="15">
      <c r="B503" s="1" t="s">
        <v>153</v>
      </c>
      <c r="C503" s="2">
        <v>43776</v>
      </c>
      <c r="D503" s="1" t="s">
        <v>154</v>
      </c>
      <c r="E503" s="1" t="s">
        <v>2666</v>
      </c>
      <c r="F503" s="1" t="s">
        <v>3</v>
      </c>
      <c r="G503" s="1" t="s">
        <v>4</v>
      </c>
      <c r="H503" s="1" t="s">
        <v>109</v>
      </c>
      <c r="I503" s="2">
        <v>43775</v>
      </c>
      <c r="J503" s="3">
        <v>0.4708333333333333</v>
      </c>
      <c r="K503" s="2">
        <v>43777</v>
      </c>
      <c r="L503" s="1" t="s">
        <v>2256</v>
      </c>
      <c r="M503" s="1"/>
      <c r="N503" s="1" t="s">
        <v>232</v>
      </c>
      <c r="O503" s="1" t="s">
        <v>233</v>
      </c>
      <c r="P503" s="1" t="s">
        <v>2389</v>
      </c>
      <c r="Q503" s="1" t="s">
        <v>4</v>
      </c>
      <c r="R503" s="1" t="s">
        <v>4</v>
      </c>
      <c r="S503" s="1" t="s">
        <v>10</v>
      </c>
      <c r="T503" s="1"/>
      <c r="U503" s="1"/>
      <c r="V503" s="1"/>
      <c r="W503" s="1" t="s">
        <v>2258</v>
      </c>
      <c r="X503" s="1" t="s">
        <v>2667</v>
      </c>
      <c r="Y503" s="1" t="s">
        <v>2667</v>
      </c>
      <c r="Z503" s="1" t="s">
        <v>2668</v>
      </c>
      <c r="AA503" s="1" t="s">
        <v>2669</v>
      </c>
      <c r="AB503" s="1" t="s">
        <v>2670</v>
      </c>
      <c r="AC503" s="1" t="s">
        <v>2671</v>
      </c>
      <c r="AD503" s="1" t="s">
        <v>17</v>
      </c>
      <c r="AE503" s="1" t="s">
        <v>18</v>
      </c>
      <c r="AF503" s="1" t="s">
        <v>19</v>
      </c>
      <c r="AG503" s="1" t="s">
        <v>19</v>
      </c>
      <c r="AH503" s="1" t="s">
        <v>2670</v>
      </c>
    </row>
    <row r="504" spans="2:34" ht="15">
      <c r="B504" s="4" t="s">
        <v>1518</v>
      </c>
      <c r="C504" s="5">
        <v>43780</v>
      </c>
      <c r="D504" s="4" t="s">
        <v>21</v>
      </c>
      <c r="E504" s="4" t="s">
        <v>2672</v>
      </c>
      <c r="F504" s="4" t="s">
        <v>3</v>
      </c>
      <c r="G504" s="4" t="s">
        <v>4</v>
      </c>
      <c r="H504" s="4" t="s">
        <v>119</v>
      </c>
      <c r="I504" s="5">
        <v>43777</v>
      </c>
      <c r="J504" s="6">
        <v>0.6657986111111112</v>
      </c>
      <c r="K504" s="5">
        <v>43781</v>
      </c>
      <c r="L504" s="4" t="s">
        <v>2256</v>
      </c>
      <c r="M504" s="4"/>
      <c r="N504" s="4" t="s">
        <v>1967</v>
      </c>
      <c r="O504" s="4" t="s">
        <v>1954</v>
      </c>
      <c r="P504" s="4" t="s">
        <v>2655</v>
      </c>
      <c r="Q504" s="4" t="s">
        <v>4</v>
      </c>
      <c r="R504" s="4" t="s">
        <v>4</v>
      </c>
      <c r="S504" s="4" t="s">
        <v>10</v>
      </c>
      <c r="T504" s="4"/>
      <c r="U504" s="4"/>
      <c r="V504" s="4"/>
      <c r="W504" s="4" t="s">
        <v>2258</v>
      </c>
      <c r="X504" s="4" t="s">
        <v>2673</v>
      </c>
      <c r="Y504" s="4" t="s">
        <v>2673</v>
      </c>
      <c r="Z504" s="4" t="s">
        <v>2657</v>
      </c>
      <c r="AA504" s="4" t="s">
        <v>2674</v>
      </c>
      <c r="AB504" s="4" t="s">
        <v>2675</v>
      </c>
      <c r="AC504" s="4" t="s">
        <v>2676</v>
      </c>
      <c r="AD504" s="4" t="s">
        <v>17</v>
      </c>
      <c r="AE504" s="4" t="s">
        <v>18</v>
      </c>
      <c r="AF504" s="4" t="s">
        <v>19</v>
      </c>
      <c r="AG504" s="4" t="s">
        <v>19</v>
      </c>
      <c r="AH504" s="4" t="s">
        <v>2675</v>
      </c>
    </row>
    <row r="505" spans="2:34" ht="15">
      <c r="B505" s="1" t="s">
        <v>1524</v>
      </c>
      <c r="C505" s="2">
        <v>43780</v>
      </c>
      <c r="D505" s="1" t="s">
        <v>1</v>
      </c>
      <c r="E505" s="1" t="s">
        <v>2677</v>
      </c>
      <c r="F505" s="1" t="s">
        <v>3</v>
      </c>
      <c r="G505" s="1" t="s">
        <v>4</v>
      </c>
      <c r="H505" s="1" t="s">
        <v>119</v>
      </c>
      <c r="I505" s="2">
        <v>43777</v>
      </c>
      <c r="J505" s="3">
        <v>0.6657986111111112</v>
      </c>
      <c r="K505" s="2">
        <v>43781</v>
      </c>
      <c r="L505" s="1" t="s">
        <v>2256</v>
      </c>
      <c r="M505" s="1"/>
      <c r="N505" s="1" t="s">
        <v>1967</v>
      </c>
      <c r="O505" s="1" t="s">
        <v>1954</v>
      </c>
      <c r="P505" s="1" t="s">
        <v>2655</v>
      </c>
      <c r="Q505" s="1" t="s">
        <v>4</v>
      </c>
      <c r="R505" s="1" t="s">
        <v>4</v>
      </c>
      <c r="S505" s="1" t="s">
        <v>10</v>
      </c>
      <c r="T505" s="1"/>
      <c r="U505" s="1"/>
      <c r="V505" s="1"/>
      <c r="W505" s="1" t="s">
        <v>2258</v>
      </c>
      <c r="X505" s="1" t="s">
        <v>2678</v>
      </c>
      <c r="Y505" s="1" t="s">
        <v>2678</v>
      </c>
      <c r="Z505" s="1" t="s">
        <v>2657</v>
      </c>
      <c r="AA505" s="1" t="s">
        <v>2679</v>
      </c>
      <c r="AB505" s="1" t="s">
        <v>2680</v>
      </c>
      <c r="AC505" s="1" t="s">
        <v>2681</v>
      </c>
      <c r="AD505" s="1" t="s">
        <v>17</v>
      </c>
      <c r="AE505" s="1" t="s">
        <v>18</v>
      </c>
      <c r="AF505" s="1" t="s">
        <v>19</v>
      </c>
      <c r="AG505" s="1" t="s">
        <v>19</v>
      </c>
      <c r="AH505" s="1" t="s">
        <v>2680</v>
      </c>
    </row>
    <row r="506" spans="2:34" ht="15">
      <c r="B506" s="4" t="s">
        <v>1518</v>
      </c>
      <c r="C506" s="5">
        <v>43781</v>
      </c>
      <c r="D506" s="4" t="s">
        <v>21</v>
      </c>
      <c r="E506" s="4" t="s">
        <v>2682</v>
      </c>
      <c r="F506" s="4" t="s">
        <v>3</v>
      </c>
      <c r="G506" s="4" t="s">
        <v>4</v>
      </c>
      <c r="H506" s="4" t="s">
        <v>119</v>
      </c>
      <c r="I506" s="5">
        <v>43780</v>
      </c>
      <c r="J506" s="6">
        <v>0.4702314814814815</v>
      </c>
      <c r="K506" s="5">
        <v>43782</v>
      </c>
      <c r="L506" s="4" t="s">
        <v>2256</v>
      </c>
      <c r="M506" s="4"/>
      <c r="N506" s="4" t="s">
        <v>1967</v>
      </c>
      <c r="O506" s="4" t="s">
        <v>1954</v>
      </c>
      <c r="P506" s="4" t="s">
        <v>2655</v>
      </c>
      <c r="Q506" s="4" t="s">
        <v>4</v>
      </c>
      <c r="R506" s="4" t="s">
        <v>4</v>
      </c>
      <c r="S506" s="4" t="s">
        <v>10</v>
      </c>
      <c r="T506" s="4"/>
      <c r="U506" s="4"/>
      <c r="V506" s="4"/>
      <c r="W506" s="4" t="s">
        <v>2258</v>
      </c>
      <c r="X506" s="4" t="s">
        <v>2683</v>
      </c>
      <c r="Y506" s="4" t="s">
        <v>2683</v>
      </c>
      <c r="Z506" s="4" t="s">
        <v>2684</v>
      </c>
      <c r="AA506" s="4" t="s">
        <v>2685</v>
      </c>
      <c r="AB506" s="4" t="s">
        <v>2686</v>
      </c>
      <c r="AC506" s="4" t="s">
        <v>2687</v>
      </c>
      <c r="AD506" s="4" t="s">
        <v>17</v>
      </c>
      <c r="AE506" s="4" t="s">
        <v>18</v>
      </c>
      <c r="AF506" s="4" t="s">
        <v>19</v>
      </c>
      <c r="AG506" s="4" t="s">
        <v>19</v>
      </c>
      <c r="AH506" s="4" t="s">
        <v>2686</v>
      </c>
    </row>
    <row r="507" spans="2:34" ht="15">
      <c r="B507" s="1" t="s">
        <v>1524</v>
      </c>
      <c r="C507" s="2">
        <v>43781</v>
      </c>
      <c r="D507" s="1" t="s">
        <v>1</v>
      </c>
      <c r="E507" s="1" t="s">
        <v>2688</v>
      </c>
      <c r="F507" s="1" t="s">
        <v>3</v>
      </c>
      <c r="G507" s="1" t="s">
        <v>4</v>
      </c>
      <c r="H507" s="1" t="s">
        <v>119</v>
      </c>
      <c r="I507" s="2">
        <v>43780</v>
      </c>
      <c r="J507" s="3">
        <v>0.4702314814814815</v>
      </c>
      <c r="K507" s="2">
        <v>43782</v>
      </c>
      <c r="L507" s="1" t="s">
        <v>2256</v>
      </c>
      <c r="M507" s="1"/>
      <c r="N507" s="1" t="s">
        <v>1967</v>
      </c>
      <c r="O507" s="1" t="s">
        <v>1954</v>
      </c>
      <c r="P507" s="1" t="s">
        <v>2655</v>
      </c>
      <c r="Q507" s="1" t="s">
        <v>4</v>
      </c>
      <c r="R507" s="1" t="s">
        <v>4</v>
      </c>
      <c r="S507" s="1" t="s">
        <v>10</v>
      </c>
      <c r="T507" s="1"/>
      <c r="U507" s="1"/>
      <c r="V507" s="1"/>
      <c r="W507" s="1" t="s">
        <v>2258</v>
      </c>
      <c r="X507" s="1" t="s">
        <v>2689</v>
      </c>
      <c r="Y507" s="1" t="s">
        <v>2689</v>
      </c>
      <c r="Z507" s="1" t="s">
        <v>2684</v>
      </c>
      <c r="AA507" s="1" t="s">
        <v>2690</v>
      </c>
      <c r="AB507" s="1" t="s">
        <v>2691</v>
      </c>
      <c r="AC507" s="1" t="s">
        <v>2692</v>
      </c>
      <c r="AD507" s="1" t="s">
        <v>17</v>
      </c>
      <c r="AE507" s="1" t="s">
        <v>18</v>
      </c>
      <c r="AF507" s="1" t="s">
        <v>19</v>
      </c>
      <c r="AG507" s="1" t="s">
        <v>19</v>
      </c>
      <c r="AH507" s="1" t="s">
        <v>2691</v>
      </c>
    </row>
    <row r="508" spans="2:34" ht="15">
      <c r="B508" s="4" t="s">
        <v>1518</v>
      </c>
      <c r="C508" s="5">
        <v>43782</v>
      </c>
      <c r="D508" s="4" t="s">
        <v>21</v>
      </c>
      <c r="E508" s="4" t="s">
        <v>2693</v>
      </c>
      <c r="F508" s="4" t="s">
        <v>3</v>
      </c>
      <c r="G508" s="4" t="s">
        <v>4</v>
      </c>
      <c r="H508" s="4" t="s">
        <v>119</v>
      </c>
      <c r="I508" s="5">
        <v>43781</v>
      </c>
      <c r="J508" s="6">
        <v>0.48269675925925926</v>
      </c>
      <c r="K508" s="5">
        <v>43783</v>
      </c>
      <c r="L508" s="4" t="s">
        <v>2256</v>
      </c>
      <c r="M508" s="4"/>
      <c r="N508" s="4" t="s">
        <v>1967</v>
      </c>
      <c r="O508" s="4" t="s">
        <v>1954</v>
      </c>
      <c r="P508" s="4" t="s">
        <v>2655</v>
      </c>
      <c r="Q508" s="4" t="s">
        <v>4</v>
      </c>
      <c r="R508" s="4" t="s">
        <v>4</v>
      </c>
      <c r="S508" s="4" t="s">
        <v>10</v>
      </c>
      <c r="T508" s="4"/>
      <c r="U508" s="4"/>
      <c r="V508" s="4"/>
      <c r="W508" s="4" t="s">
        <v>2258</v>
      </c>
      <c r="X508" s="4" t="s">
        <v>2683</v>
      </c>
      <c r="Y508" s="4" t="s">
        <v>2683</v>
      </c>
      <c r="Z508" s="4" t="s">
        <v>2694</v>
      </c>
      <c r="AA508" s="4" t="s">
        <v>2695</v>
      </c>
      <c r="AB508" s="4" t="s">
        <v>2696</v>
      </c>
      <c r="AC508" s="4" t="s">
        <v>2697</v>
      </c>
      <c r="AD508" s="4" t="s">
        <v>17</v>
      </c>
      <c r="AE508" s="4" t="s">
        <v>18</v>
      </c>
      <c r="AF508" s="4" t="s">
        <v>19</v>
      </c>
      <c r="AG508" s="4" t="s">
        <v>19</v>
      </c>
      <c r="AH508" s="4" t="s">
        <v>2696</v>
      </c>
    </row>
    <row r="509" spans="2:34" ht="15">
      <c r="B509" s="1" t="s">
        <v>1518</v>
      </c>
      <c r="C509" s="2">
        <v>43782</v>
      </c>
      <c r="D509" s="1" t="s">
        <v>21</v>
      </c>
      <c r="E509" s="1" t="s">
        <v>2698</v>
      </c>
      <c r="F509" s="1" t="s">
        <v>3</v>
      </c>
      <c r="G509" s="1" t="s">
        <v>4</v>
      </c>
      <c r="H509" s="1" t="s">
        <v>2606</v>
      </c>
      <c r="I509" s="2">
        <v>43781</v>
      </c>
      <c r="J509" s="3">
        <v>0.5347222222222222</v>
      </c>
      <c r="K509" s="2">
        <v>43783</v>
      </c>
      <c r="L509" s="1" t="s">
        <v>2256</v>
      </c>
      <c r="M509" s="1"/>
      <c r="N509" s="1" t="s">
        <v>401</v>
      </c>
      <c r="O509" s="1" t="s">
        <v>402</v>
      </c>
      <c r="P509" s="1" t="s">
        <v>2607</v>
      </c>
      <c r="Q509" s="1" t="s">
        <v>4</v>
      </c>
      <c r="R509" s="1" t="s">
        <v>4</v>
      </c>
      <c r="S509" s="1" t="s">
        <v>10</v>
      </c>
      <c r="T509" s="1"/>
      <c r="U509" s="1"/>
      <c r="V509" s="1"/>
      <c r="W509" s="1" t="s">
        <v>1963</v>
      </c>
      <c r="X509" s="1" t="s">
        <v>2699</v>
      </c>
      <c r="Y509" s="1" t="s">
        <v>2699</v>
      </c>
      <c r="Z509" s="1" t="s">
        <v>2700</v>
      </c>
      <c r="AA509" s="1" t="s">
        <v>2701</v>
      </c>
      <c r="AB509" s="1" t="s">
        <v>2702</v>
      </c>
      <c r="AC509" s="1" t="s">
        <v>2703</v>
      </c>
      <c r="AD509" s="1" t="s">
        <v>17</v>
      </c>
      <c r="AE509" s="1" t="s">
        <v>18</v>
      </c>
      <c r="AF509" s="1" t="s">
        <v>19</v>
      </c>
      <c r="AG509" s="1" t="s">
        <v>19</v>
      </c>
      <c r="AH509" s="1" t="s">
        <v>2702</v>
      </c>
    </row>
    <row r="510" spans="2:34" ht="15">
      <c r="B510" s="4" t="s">
        <v>1524</v>
      </c>
      <c r="C510" s="5">
        <v>43782</v>
      </c>
      <c r="D510" s="4" t="s">
        <v>1</v>
      </c>
      <c r="E510" s="4" t="s">
        <v>2704</v>
      </c>
      <c r="F510" s="4" t="s">
        <v>3</v>
      </c>
      <c r="G510" s="4" t="s">
        <v>4</v>
      </c>
      <c r="H510" s="4" t="s">
        <v>119</v>
      </c>
      <c r="I510" s="5">
        <v>43781</v>
      </c>
      <c r="J510" s="6">
        <v>0.48269675925925926</v>
      </c>
      <c r="K510" s="5">
        <v>43783</v>
      </c>
      <c r="L510" s="4" t="s">
        <v>2256</v>
      </c>
      <c r="M510" s="4"/>
      <c r="N510" s="4" t="s">
        <v>1967</v>
      </c>
      <c r="O510" s="4" t="s">
        <v>1954</v>
      </c>
      <c r="P510" s="4" t="s">
        <v>2655</v>
      </c>
      <c r="Q510" s="4" t="s">
        <v>4</v>
      </c>
      <c r="R510" s="4" t="s">
        <v>4</v>
      </c>
      <c r="S510" s="4" t="s">
        <v>10</v>
      </c>
      <c r="T510" s="4"/>
      <c r="U510" s="4"/>
      <c r="V510" s="4"/>
      <c r="W510" s="4" t="s">
        <v>2258</v>
      </c>
      <c r="X510" s="4" t="s">
        <v>2689</v>
      </c>
      <c r="Y510" s="4" t="s">
        <v>2689</v>
      </c>
      <c r="Z510" s="4" t="s">
        <v>2694</v>
      </c>
      <c r="AA510" s="4" t="s">
        <v>2705</v>
      </c>
      <c r="AB510" s="4" t="s">
        <v>2706</v>
      </c>
      <c r="AC510" s="4" t="s">
        <v>2707</v>
      </c>
      <c r="AD510" s="4" t="s">
        <v>17</v>
      </c>
      <c r="AE510" s="4" t="s">
        <v>18</v>
      </c>
      <c r="AF510" s="4" t="s">
        <v>19</v>
      </c>
      <c r="AG510" s="4" t="s">
        <v>19</v>
      </c>
      <c r="AH510" s="4" t="s">
        <v>2706</v>
      </c>
    </row>
    <row r="511" spans="2:34" ht="15">
      <c r="B511" s="1" t="s">
        <v>1524</v>
      </c>
      <c r="C511" s="2">
        <v>43782</v>
      </c>
      <c r="D511" s="1" t="s">
        <v>1</v>
      </c>
      <c r="E511" s="1" t="s">
        <v>2708</v>
      </c>
      <c r="F511" s="1" t="s">
        <v>3</v>
      </c>
      <c r="G511" s="1" t="s">
        <v>4</v>
      </c>
      <c r="H511" s="1" t="s">
        <v>2606</v>
      </c>
      <c r="I511" s="2">
        <v>43781</v>
      </c>
      <c r="J511" s="3">
        <v>0.5347222222222222</v>
      </c>
      <c r="K511" s="2">
        <v>43783</v>
      </c>
      <c r="L511" s="1" t="s">
        <v>2256</v>
      </c>
      <c r="M511" s="1"/>
      <c r="N511" s="1" t="s">
        <v>401</v>
      </c>
      <c r="O511" s="1" t="s">
        <v>402</v>
      </c>
      <c r="P511" s="1" t="s">
        <v>2607</v>
      </c>
      <c r="Q511" s="1" t="s">
        <v>4</v>
      </c>
      <c r="R511" s="1" t="s">
        <v>4</v>
      </c>
      <c r="S511" s="1" t="s">
        <v>10</v>
      </c>
      <c r="T511" s="1"/>
      <c r="U511" s="1"/>
      <c r="V511" s="1"/>
      <c r="W511" s="1" t="s">
        <v>1963</v>
      </c>
      <c r="X511" s="1" t="s">
        <v>2709</v>
      </c>
      <c r="Y511" s="1" t="s">
        <v>2709</v>
      </c>
      <c r="Z511" s="1" t="s">
        <v>2700</v>
      </c>
      <c r="AA511" s="1" t="s">
        <v>2710</v>
      </c>
      <c r="AB511" s="1" t="s">
        <v>2711</v>
      </c>
      <c r="AC511" s="1" t="s">
        <v>2712</v>
      </c>
      <c r="AD511" s="1" t="s">
        <v>17</v>
      </c>
      <c r="AE511" s="1" t="s">
        <v>18</v>
      </c>
      <c r="AF511" s="1" t="s">
        <v>19</v>
      </c>
      <c r="AG511" s="1" t="s">
        <v>19</v>
      </c>
      <c r="AH511" s="1" t="s">
        <v>2711</v>
      </c>
    </row>
    <row r="512" spans="2:34" ht="15">
      <c r="B512" s="4" t="s">
        <v>153</v>
      </c>
      <c r="C512" s="5">
        <v>43782</v>
      </c>
      <c r="D512" s="4" t="s">
        <v>154</v>
      </c>
      <c r="E512" s="4" t="s">
        <v>2713</v>
      </c>
      <c r="F512" s="4" t="s">
        <v>3</v>
      </c>
      <c r="G512" s="4" t="s">
        <v>4</v>
      </c>
      <c r="H512" s="4" t="s">
        <v>2606</v>
      </c>
      <c r="I512" s="5">
        <v>43781</v>
      </c>
      <c r="J512" s="6">
        <v>0.5347222222222222</v>
      </c>
      <c r="K512" s="5">
        <v>43783</v>
      </c>
      <c r="L512" s="4" t="s">
        <v>2256</v>
      </c>
      <c r="M512" s="4"/>
      <c r="N512" s="4" t="s">
        <v>401</v>
      </c>
      <c r="O512" s="4" t="s">
        <v>402</v>
      </c>
      <c r="P512" s="4" t="s">
        <v>2607</v>
      </c>
      <c r="Q512" s="4" t="s">
        <v>4</v>
      </c>
      <c r="R512" s="4" t="s">
        <v>4</v>
      </c>
      <c r="S512" s="4" t="s">
        <v>10</v>
      </c>
      <c r="T512" s="4"/>
      <c r="U512" s="4"/>
      <c r="V512" s="4"/>
      <c r="W512" s="4" t="s">
        <v>1963</v>
      </c>
      <c r="X512" s="4" t="s">
        <v>2714</v>
      </c>
      <c r="Y512" s="4" t="s">
        <v>2714</v>
      </c>
      <c r="Z512" s="4" t="s">
        <v>2700</v>
      </c>
      <c r="AA512" s="4" t="s">
        <v>2715</v>
      </c>
      <c r="AB512" s="4" t="s">
        <v>2716</v>
      </c>
      <c r="AC512" s="4" t="s">
        <v>2717</v>
      </c>
      <c r="AD512" s="4" t="s">
        <v>17</v>
      </c>
      <c r="AE512" s="4" t="s">
        <v>18</v>
      </c>
      <c r="AF512" s="4" t="s">
        <v>19</v>
      </c>
      <c r="AG512" s="4" t="s">
        <v>19</v>
      </c>
      <c r="AH512" s="4" t="s">
        <v>2716</v>
      </c>
    </row>
    <row r="513" spans="2:34" ht="15">
      <c r="B513" s="1" t="s">
        <v>1518</v>
      </c>
      <c r="C513" s="2">
        <v>43784</v>
      </c>
      <c r="D513" s="1" t="s">
        <v>21</v>
      </c>
      <c r="E513" s="1" t="s">
        <v>2693</v>
      </c>
      <c r="F513" s="1" t="s">
        <v>3</v>
      </c>
      <c r="G513" s="1" t="s">
        <v>4</v>
      </c>
      <c r="H513" s="1" t="s">
        <v>119</v>
      </c>
      <c r="I513" s="2">
        <v>43783</v>
      </c>
      <c r="J513" s="3">
        <v>0.5493981481481481</v>
      </c>
      <c r="K513" s="2">
        <v>43787</v>
      </c>
      <c r="L513" s="1" t="s">
        <v>2256</v>
      </c>
      <c r="M513" s="1"/>
      <c r="N513" s="1" t="s">
        <v>1967</v>
      </c>
      <c r="O513" s="1" t="s">
        <v>1954</v>
      </c>
      <c r="P513" s="1" t="s">
        <v>2655</v>
      </c>
      <c r="Q513" s="1" t="s">
        <v>4</v>
      </c>
      <c r="R513" s="1" t="s">
        <v>4</v>
      </c>
      <c r="S513" s="1" t="s">
        <v>10</v>
      </c>
      <c r="T513" s="1"/>
      <c r="U513" s="1"/>
      <c r="V513" s="1"/>
      <c r="W513" s="1" t="s">
        <v>2258</v>
      </c>
      <c r="X513" s="1" t="s">
        <v>2718</v>
      </c>
      <c r="Y513" s="1" t="s">
        <v>2683</v>
      </c>
      <c r="Z513" s="1" t="s">
        <v>2719</v>
      </c>
      <c r="AA513" s="1" t="s">
        <v>2720</v>
      </c>
      <c r="AB513" s="1" t="s">
        <v>2721</v>
      </c>
      <c r="AC513" s="1" t="s">
        <v>2722</v>
      </c>
      <c r="AD513" s="1" t="s">
        <v>17</v>
      </c>
      <c r="AE513" s="1" t="s">
        <v>18</v>
      </c>
      <c r="AF513" s="1" t="s">
        <v>19</v>
      </c>
      <c r="AG513" s="1" t="s">
        <v>19</v>
      </c>
      <c r="AH513" s="1" t="s">
        <v>2721</v>
      </c>
    </row>
    <row r="514" spans="2:34" ht="15">
      <c r="B514" s="4" t="s">
        <v>1524</v>
      </c>
      <c r="C514" s="5">
        <v>43784</v>
      </c>
      <c r="D514" s="4" t="s">
        <v>1</v>
      </c>
      <c r="E514" s="4" t="s">
        <v>2704</v>
      </c>
      <c r="F514" s="4" t="s">
        <v>3</v>
      </c>
      <c r="G514" s="4" t="s">
        <v>4</v>
      </c>
      <c r="H514" s="4" t="s">
        <v>119</v>
      </c>
      <c r="I514" s="5">
        <v>43783</v>
      </c>
      <c r="J514" s="6">
        <v>0.5493981481481481</v>
      </c>
      <c r="K514" s="5">
        <v>43787</v>
      </c>
      <c r="L514" s="4" t="s">
        <v>2256</v>
      </c>
      <c r="M514" s="4"/>
      <c r="N514" s="4" t="s">
        <v>1967</v>
      </c>
      <c r="O514" s="4" t="s">
        <v>1954</v>
      </c>
      <c r="P514" s="4" t="s">
        <v>2655</v>
      </c>
      <c r="Q514" s="4" t="s">
        <v>4</v>
      </c>
      <c r="R514" s="4" t="s">
        <v>4</v>
      </c>
      <c r="S514" s="4" t="s">
        <v>10</v>
      </c>
      <c r="T514" s="4"/>
      <c r="U514" s="4"/>
      <c r="V514" s="4"/>
      <c r="W514" s="4" t="s">
        <v>2258</v>
      </c>
      <c r="X514" s="4" t="s">
        <v>2723</v>
      </c>
      <c r="Y514" s="4" t="s">
        <v>2723</v>
      </c>
      <c r="Z514" s="4" t="s">
        <v>2719</v>
      </c>
      <c r="AA514" s="4" t="s">
        <v>2724</v>
      </c>
      <c r="AB514" s="4" t="s">
        <v>2725</v>
      </c>
      <c r="AC514" s="4" t="s">
        <v>2726</v>
      </c>
      <c r="AD514" s="4" t="s">
        <v>17</v>
      </c>
      <c r="AE514" s="4" t="s">
        <v>18</v>
      </c>
      <c r="AF514" s="4" t="s">
        <v>19</v>
      </c>
      <c r="AG514" s="4" t="s">
        <v>19</v>
      </c>
      <c r="AH514" s="4" t="s">
        <v>2725</v>
      </c>
    </row>
    <row r="515" spans="2:34" ht="15">
      <c r="B515" s="1" t="s">
        <v>1518</v>
      </c>
      <c r="C515" s="2">
        <v>43787</v>
      </c>
      <c r="D515" s="1" t="s">
        <v>21</v>
      </c>
      <c r="E515" s="1" t="s">
        <v>2727</v>
      </c>
      <c r="F515" s="1" t="s">
        <v>3</v>
      </c>
      <c r="G515" s="1" t="s">
        <v>4</v>
      </c>
      <c r="H515" s="1" t="s">
        <v>119</v>
      </c>
      <c r="I515" s="2">
        <v>43784</v>
      </c>
      <c r="J515" s="3">
        <v>0.5686574074074074</v>
      </c>
      <c r="K515" s="2">
        <v>43788</v>
      </c>
      <c r="L515" s="1" t="s">
        <v>2256</v>
      </c>
      <c r="M515" s="1"/>
      <c r="N515" s="1" t="s">
        <v>1967</v>
      </c>
      <c r="O515" s="1" t="s">
        <v>1954</v>
      </c>
      <c r="P515" s="1" t="s">
        <v>2655</v>
      </c>
      <c r="Q515" s="1" t="s">
        <v>4</v>
      </c>
      <c r="R515" s="1" t="s">
        <v>4</v>
      </c>
      <c r="S515" s="1" t="s">
        <v>10</v>
      </c>
      <c r="T515" s="1"/>
      <c r="U515" s="1"/>
      <c r="V515" s="1"/>
      <c r="W515" s="1" t="s">
        <v>2258</v>
      </c>
      <c r="X515" s="1" t="s">
        <v>2683</v>
      </c>
      <c r="Y515" s="1" t="s">
        <v>2683</v>
      </c>
      <c r="Z515" s="1" t="s">
        <v>2728</v>
      </c>
      <c r="AA515" s="1" t="s">
        <v>2729</v>
      </c>
      <c r="AB515" s="1" t="s">
        <v>2730</v>
      </c>
      <c r="AC515" s="1" t="s">
        <v>2731</v>
      </c>
      <c r="AD515" s="1" t="s">
        <v>17</v>
      </c>
      <c r="AE515" s="1" t="s">
        <v>18</v>
      </c>
      <c r="AF515" s="1" t="s">
        <v>19</v>
      </c>
      <c r="AG515" s="1" t="s">
        <v>19</v>
      </c>
      <c r="AH515" s="1" t="s">
        <v>2730</v>
      </c>
    </row>
    <row r="516" spans="2:34" ht="15">
      <c r="B516" s="4" t="s">
        <v>1518</v>
      </c>
      <c r="C516" s="5">
        <v>43787</v>
      </c>
      <c r="D516" s="4" t="s">
        <v>21</v>
      </c>
      <c r="E516" s="4" t="s">
        <v>2732</v>
      </c>
      <c r="F516" s="4" t="s">
        <v>3</v>
      </c>
      <c r="G516" s="4" t="s">
        <v>4</v>
      </c>
      <c r="H516" s="4" t="s">
        <v>119</v>
      </c>
      <c r="I516" s="5">
        <v>43784</v>
      </c>
      <c r="J516" s="6">
        <v>0.6539699074074075</v>
      </c>
      <c r="K516" s="5">
        <v>43788</v>
      </c>
      <c r="L516" s="4" t="s">
        <v>2256</v>
      </c>
      <c r="M516" s="4"/>
      <c r="N516" s="4" t="s">
        <v>1967</v>
      </c>
      <c r="O516" s="4" t="s">
        <v>1954</v>
      </c>
      <c r="P516" s="4" t="s">
        <v>2655</v>
      </c>
      <c r="Q516" s="4" t="s">
        <v>4</v>
      </c>
      <c r="R516" s="4" t="s">
        <v>4</v>
      </c>
      <c r="S516" s="4" t="s">
        <v>10</v>
      </c>
      <c r="T516" s="4"/>
      <c r="U516" s="4"/>
      <c r="V516" s="4"/>
      <c r="W516" s="4" t="s">
        <v>2258</v>
      </c>
      <c r="X516" s="4" t="s">
        <v>2733</v>
      </c>
      <c r="Y516" s="4" t="s">
        <v>2733</v>
      </c>
      <c r="Z516" s="4" t="s">
        <v>2734</v>
      </c>
      <c r="AA516" s="4" t="s">
        <v>2735</v>
      </c>
      <c r="AB516" s="4" t="s">
        <v>2736</v>
      </c>
      <c r="AC516" s="4" t="s">
        <v>2737</v>
      </c>
      <c r="AD516" s="4" t="s">
        <v>17</v>
      </c>
      <c r="AE516" s="4" t="s">
        <v>18</v>
      </c>
      <c r="AF516" s="4" t="s">
        <v>19</v>
      </c>
      <c r="AG516" s="4" t="s">
        <v>19</v>
      </c>
      <c r="AH516" s="4" t="s">
        <v>2736</v>
      </c>
    </row>
    <row r="517" spans="2:34" ht="15">
      <c r="B517" s="1" t="s">
        <v>1524</v>
      </c>
      <c r="C517" s="2">
        <v>43787</v>
      </c>
      <c r="D517" s="1" t="s">
        <v>1</v>
      </c>
      <c r="E517" s="1" t="s">
        <v>2738</v>
      </c>
      <c r="F517" s="1" t="s">
        <v>3</v>
      </c>
      <c r="G517" s="1" t="s">
        <v>4</v>
      </c>
      <c r="H517" s="1" t="s">
        <v>119</v>
      </c>
      <c r="I517" s="2">
        <v>43784</v>
      </c>
      <c r="J517" s="3">
        <v>0.5686574074074074</v>
      </c>
      <c r="K517" s="2">
        <v>43788</v>
      </c>
      <c r="L517" s="1" t="s">
        <v>2256</v>
      </c>
      <c r="M517" s="1"/>
      <c r="N517" s="1" t="s">
        <v>1967</v>
      </c>
      <c r="O517" s="1" t="s">
        <v>1954</v>
      </c>
      <c r="P517" s="1" t="s">
        <v>2655</v>
      </c>
      <c r="Q517" s="1" t="s">
        <v>4</v>
      </c>
      <c r="R517" s="1" t="s">
        <v>4</v>
      </c>
      <c r="S517" s="1" t="s">
        <v>10</v>
      </c>
      <c r="T517" s="1"/>
      <c r="U517" s="1"/>
      <c r="V517" s="1"/>
      <c r="W517" s="1" t="s">
        <v>2258</v>
      </c>
      <c r="X517" s="1" t="s">
        <v>2689</v>
      </c>
      <c r="Y517" s="1" t="s">
        <v>2689</v>
      </c>
      <c r="Z517" s="1" t="s">
        <v>2728</v>
      </c>
      <c r="AA517" s="1" t="s">
        <v>2739</v>
      </c>
      <c r="AB517" s="1" t="s">
        <v>2740</v>
      </c>
      <c r="AC517" s="1" t="s">
        <v>2741</v>
      </c>
      <c r="AD517" s="1" t="s">
        <v>17</v>
      </c>
      <c r="AE517" s="1" t="s">
        <v>18</v>
      </c>
      <c r="AF517" s="1" t="s">
        <v>19</v>
      </c>
      <c r="AG517" s="1" t="s">
        <v>19</v>
      </c>
      <c r="AH517" s="1" t="s">
        <v>2740</v>
      </c>
    </row>
    <row r="518" spans="2:34" ht="15">
      <c r="B518" s="4" t="s">
        <v>1524</v>
      </c>
      <c r="C518" s="5">
        <v>43787</v>
      </c>
      <c r="D518" s="4" t="s">
        <v>1</v>
      </c>
      <c r="E518" s="4" t="s">
        <v>2742</v>
      </c>
      <c r="F518" s="4" t="s">
        <v>3</v>
      </c>
      <c r="G518" s="4" t="s">
        <v>4</v>
      </c>
      <c r="H518" s="4" t="s">
        <v>119</v>
      </c>
      <c r="I518" s="5">
        <v>43784</v>
      </c>
      <c r="J518" s="6">
        <v>0.6539699074074075</v>
      </c>
      <c r="K518" s="5">
        <v>43788</v>
      </c>
      <c r="L518" s="4" t="s">
        <v>2256</v>
      </c>
      <c r="M518" s="4"/>
      <c r="N518" s="4" t="s">
        <v>1967</v>
      </c>
      <c r="O518" s="4" t="s">
        <v>1954</v>
      </c>
      <c r="P518" s="4" t="s">
        <v>2655</v>
      </c>
      <c r="Q518" s="4" t="s">
        <v>4</v>
      </c>
      <c r="R518" s="4" t="s">
        <v>4</v>
      </c>
      <c r="S518" s="4" t="s">
        <v>10</v>
      </c>
      <c r="T518" s="4"/>
      <c r="U518" s="4"/>
      <c r="V518" s="4"/>
      <c r="W518" s="4" t="s">
        <v>2258</v>
      </c>
      <c r="X518" s="4" t="s">
        <v>2743</v>
      </c>
      <c r="Y518" s="4" t="s">
        <v>2743</v>
      </c>
      <c r="Z518" s="4" t="s">
        <v>2734</v>
      </c>
      <c r="AA518" s="4" t="s">
        <v>2744</v>
      </c>
      <c r="AB518" s="4" t="s">
        <v>2745</v>
      </c>
      <c r="AC518" s="4" t="s">
        <v>2746</v>
      </c>
      <c r="AD518" s="4" t="s">
        <v>17</v>
      </c>
      <c r="AE518" s="4" t="s">
        <v>18</v>
      </c>
      <c r="AF518" s="4" t="s">
        <v>19</v>
      </c>
      <c r="AG518" s="4" t="s">
        <v>19</v>
      </c>
      <c r="AH518" s="4" t="s">
        <v>2745</v>
      </c>
    </row>
    <row r="519" spans="2:34" ht="15">
      <c r="B519" s="1" t="s">
        <v>1518</v>
      </c>
      <c r="C519" s="2">
        <v>43788</v>
      </c>
      <c r="D519" s="1" t="s">
        <v>21</v>
      </c>
      <c r="E519" s="1" t="s">
        <v>2747</v>
      </c>
      <c r="F519" s="1" t="s">
        <v>3</v>
      </c>
      <c r="G519" s="1" t="s">
        <v>4</v>
      </c>
      <c r="H519" s="1" t="s">
        <v>632</v>
      </c>
      <c r="I519" s="2">
        <v>43787</v>
      </c>
      <c r="J519" s="3">
        <v>0.6528240740740741</v>
      </c>
      <c r="K519" s="2">
        <v>43789</v>
      </c>
      <c r="L519" s="1" t="s">
        <v>2256</v>
      </c>
      <c r="M519" s="1"/>
      <c r="N519" s="1" t="s">
        <v>2353</v>
      </c>
      <c r="O519" s="1" t="s">
        <v>2309</v>
      </c>
      <c r="P519" s="1" t="s">
        <v>2426</v>
      </c>
      <c r="Q519" s="1" t="s">
        <v>4</v>
      </c>
      <c r="R519" s="1" t="s">
        <v>4</v>
      </c>
      <c r="S519" s="1" t="s">
        <v>10</v>
      </c>
      <c r="T519" s="1"/>
      <c r="U519" s="1"/>
      <c r="V519" s="1"/>
      <c r="W519" s="1" t="s">
        <v>2258</v>
      </c>
      <c r="X519" s="1" t="s">
        <v>2748</v>
      </c>
      <c r="Y519" s="1" t="s">
        <v>2748</v>
      </c>
      <c r="Z519" s="1" t="s">
        <v>2312</v>
      </c>
      <c r="AA519" s="1" t="s">
        <v>2749</v>
      </c>
      <c r="AB519" s="1" t="s">
        <v>2750</v>
      </c>
      <c r="AC519" s="1" t="s">
        <v>2751</v>
      </c>
      <c r="AD519" s="1" t="s">
        <v>17</v>
      </c>
      <c r="AE519" s="1" t="s">
        <v>18</v>
      </c>
      <c r="AF519" s="1" t="s">
        <v>19</v>
      </c>
      <c r="AG519" s="1" t="s">
        <v>19</v>
      </c>
      <c r="AH519" s="1" t="s">
        <v>2750</v>
      </c>
    </row>
    <row r="520" spans="2:34" ht="15">
      <c r="B520" s="4" t="s">
        <v>1518</v>
      </c>
      <c r="C520" s="5">
        <v>43788</v>
      </c>
      <c r="D520" s="4" t="s">
        <v>21</v>
      </c>
      <c r="E520" s="4" t="s">
        <v>2752</v>
      </c>
      <c r="F520" s="4" t="s">
        <v>3</v>
      </c>
      <c r="G520" s="4" t="s">
        <v>4</v>
      </c>
      <c r="H520" s="4" t="s">
        <v>632</v>
      </c>
      <c r="I520" s="5">
        <v>43787</v>
      </c>
      <c r="J520" s="6">
        <v>0.5877314814814815</v>
      </c>
      <c r="K520" s="5">
        <v>43789</v>
      </c>
      <c r="L520" s="4" t="s">
        <v>2256</v>
      </c>
      <c r="M520" s="4"/>
      <c r="N520" s="4" t="s">
        <v>2091</v>
      </c>
      <c r="O520" s="4" t="s">
        <v>2092</v>
      </c>
      <c r="P520" s="4" t="s">
        <v>2753</v>
      </c>
      <c r="Q520" s="4" t="s">
        <v>4</v>
      </c>
      <c r="R520" s="4" t="s">
        <v>4</v>
      </c>
      <c r="S520" s="4" t="s">
        <v>10</v>
      </c>
      <c r="T520" s="4"/>
      <c r="U520" s="4"/>
      <c r="V520" s="4"/>
      <c r="W520" s="4" t="s">
        <v>1963</v>
      </c>
      <c r="X520" s="4" t="s">
        <v>959</v>
      </c>
      <c r="Y520" s="4" t="s">
        <v>959</v>
      </c>
      <c r="Z520" s="4" t="s">
        <v>2754</v>
      </c>
      <c r="AA520" s="4" t="s">
        <v>2755</v>
      </c>
      <c r="AB520" s="4" t="s">
        <v>2756</v>
      </c>
      <c r="AC520" s="4" t="s">
        <v>2757</v>
      </c>
      <c r="AD520" s="4" t="s">
        <v>17</v>
      </c>
      <c r="AE520" s="4" t="s">
        <v>18</v>
      </c>
      <c r="AF520" s="4" t="s">
        <v>19</v>
      </c>
      <c r="AG520" s="4" t="s">
        <v>19</v>
      </c>
      <c r="AH520" s="4" t="s">
        <v>2756</v>
      </c>
    </row>
    <row r="521" spans="2:34" ht="15">
      <c r="B521" s="1" t="s">
        <v>1518</v>
      </c>
      <c r="C521" s="2">
        <v>43788</v>
      </c>
      <c r="D521" s="1" t="s">
        <v>21</v>
      </c>
      <c r="E521" s="1" t="s">
        <v>701</v>
      </c>
      <c r="F521" s="1" t="s">
        <v>3</v>
      </c>
      <c r="G521" s="1" t="s">
        <v>4</v>
      </c>
      <c r="H521" s="1" t="s">
        <v>119</v>
      </c>
      <c r="I521" s="2">
        <v>43787</v>
      </c>
      <c r="J521" s="3">
        <v>0.4689583333333333</v>
      </c>
      <c r="K521" s="2">
        <v>43789</v>
      </c>
      <c r="L521" s="1" t="s">
        <v>2256</v>
      </c>
      <c r="M521" s="1"/>
      <c r="N521" s="1" t="s">
        <v>1967</v>
      </c>
      <c r="O521" s="1" t="s">
        <v>1954</v>
      </c>
      <c r="P521" s="1" t="s">
        <v>2655</v>
      </c>
      <c r="Q521" s="1" t="s">
        <v>4</v>
      </c>
      <c r="R521" s="1" t="s">
        <v>4</v>
      </c>
      <c r="S521" s="1" t="s">
        <v>10</v>
      </c>
      <c r="T521" s="1"/>
      <c r="U521" s="1"/>
      <c r="V521" s="1"/>
      <c r="W521" s="1" t="s">
        <v>2258</v>
      </c>
      <c r="X521" s="1" t="s">
        <v>2758</v>
      </c>
      <c r="Y521" s="1" t="s">
        <v>2758</v>
      </c>
      <c r="Z521" s="1" t="s">
        <v>2759</v>
      </c>
      <c r="AA521" s="1" t="s">
        <v>2760</v>
      </c>
      <c r="AB521" s="1" t="s">
        <v>2761</v>
      </c>
      <c r="AC521" s="1" t="s">
        <v>2762</v>
      </c>
      <c r="AD521" s="1" t="s">
        <v>17</v>
      </c>
      <c r="AE521" s="1" t="s">
        <v>18</v>
      </c>
      <c r="AF521" s="1" t="s">
        <v>19</v>
      </c>
      <c r="AG521" s="1" t="s">
        <v>19</v>
      </c>
      <c r="AH521" s="1" t="s">
        <v>2761</v>
      </c>
    </row>
    <row r="522" spans="2:34" ht="15">
      <c r="B522" s="4" t="s">
        <v>1524</v>
      </c>
      <c r="C522" s="5">
        <v>43788</v>
      </c>
      <c r="D522" s="4" t="s">
        <v>1</v>
      </c>
      <c r="E522" s="4" t="s">
        <v>2763</v>
      </c>
      <c r="F522" s="4" t="s">
        <v>3</v>
      </c>
      <c r="G522" s="4" t="s">
        <v>4</v>
      </c>
      <c r="H522" s="4" t="s">
        <v>119</v>
      </c>
      <c r="I522" s="5">
        <v>43787</v>
      </c>
      <c r="J522" s="6">
        <v>0.4689583333333333</v>
      </c>
      <c r="K522" s="5">
        <v>43789</v>
      </c>
      <c r="L522" s="4" t="s">
        <v>2256</v>
      </c>
      <c r="M522" s="4"/>
      <c r="N522" s="4" t="s">
        <v>1967</v>
      </c>
      <c r="O522" s="4" t="s">
        <v>1954</v>
      </c>
      <c r="P522" s="4" t="s">
        <v>2655</v>
      </c>
      <c r="Q522" s="4" t="s">
        <v>4</v>
      </c>
      <c r="R522" s="4" t="s">
        <v>4</v>
      </c>
      <c r="S522" s="4" t="s">
        <v>10</v>
      </c>
      <c r="T522" s="4"/>
      <c r="U522" s="4"/>
      <c r="V522" s="4"/>
      <c r="W522" s="4" t="s">
        <v>2258</v>
      </c>
      <c r="X522" s="4" t="s">
        <v>2764</v>
      </c>
      <c r="Y522" s="4" t="s">
        <v>2764</v>
      </c>
      <c r="Z522" s="4" t="s">
        <v>2759</v>
      </c>
      <c r="AA522" s="4" t="s">
        <v>2765</v>
      </c>
      <c r="AB522" s="4" t="s">
        <v>2766</v>
      </c>
      <c r="AC522" s="4" t="s">
        <v>2767</v>
      </c>
      <c r="AD522" s="4" t="s">
        <v>17</v>
      </c>
      <c r="AE522" s="4" t="s">
        <v>18</v>
      </c>
      <c r="AF522" s="4" t="s">
        <v>19</v>
      </c>
      <c r="AG522" s="4" t="s">
        <v>19</v>
      </c>
      <c r="AH522" s="4" t="s">
        <v>2766</v>
      </c>
    </row>
    <row r="523" spans="2:34" ht="15">
      <c r="B523" s="1" t="s">
        <v>153</v>
      </c>
      <c r="C523" s="2">
        <v>43788</v>
      </c>
      <c r="D523" s="1" t="s">
        <v>154</v>
      </c>
      <c r="E523" s="1" t="s">
        <v>2768</v>
      </c>
      <c r="F523" s="1" t="s">
        <v>3</v>
      </c>
      <c r="G523" s="1" t="s">
        <v>4</v>
      </c>
      <c r="H523" s="1" t="s">
        <v>632</v>
      </c>
      <c r="I523" s="2">
        <v>43787</v>
      </c>
      <c r="J523" s="3">
        <v>0.6528240740740741</v>
      </c>
      <c r="K523" s="2">
        <v>43789</v>
      </c>
      <c r="L523" s="1" t="s">
        <v>2256</v>
      </c>
      <c r="M523" s="1"/>
      <c r="N523" s="1" t="s">
        <v>2353</v>
      </c>
      <c r="O523" s="1" t="s">
        <v>2309</v>
      </c>
      <c r="P523" s="1" t="s">
        <v>2426</v>
      </c>
      <c r="Q523" s="1" t="s">
        <v>4</v>
      </c>
      <c r="R523" s="1" t="s">
        <v>4</v>
      </c>
      <c r="S523" s="1" t="s">
        <v>10</v>
      </c>
      <c r="T523" s="1"/>
      <c r="U523" s="1"/>
      <c r="V523" s="1"/>
      <c r="W523" s="1" t="s">
        <v>2258</v>
      </c>
      <c r="X523" s="1" t="s">
        <v>2769</v>
      </c>
      <c r="Y523" s="1" t="s">
        <v>2769</v>
      </c>
      <c r="Z523" s="1" t="s">
        <v>2312</v>
      </c>
      <c r="AA523" s="1" t="s">
        <v>2770</v>
      </c>
      <c r="AB523" s="1" t="s">
        <v>2771</v>
      </c>
      <c r="AC523" s="1" t="s">
        <v>2772</v>
      </c>
      <c r="AD523" s="1" t="s">
        <v>17</v>
      </c>
      <c r="AE523" s="1" t="s">
        <v>17</v>
      </c>
      <c r="AF523" s="1" t="s">
        <v>19</v>
      </c>
      <c r="AG523" s="1" t="s">
        <v>19</v>
      </c>
      <c r="AH523" s="1" t="s">
        <v>2771</v>
      </c>
    </row>
    <row r="524" spans="2:34" ht="15">
      <c r="B524" s="4" t="s">
        <v>1518</v>
      </c>
      <c r="C524" s="5">
        <v>43790</v>
      </c>
      <c r="D524" s="4" t="s">
        <v>21</v>
      </c>
      <c r="E524" s="4" t="s">
        <v>2773</v>
      </c>
      <c r="F524" s="4" t="s">
        <v>3</v>
      </c>
      <c r="G524" s="4" t="s">
        <v>4</v>
      </c>
      <c r="H524" s="4" t="s">
        <v>914</v>
      </c>
      <c r="I524" s="5">
        <v>43789</v>
      </c>
      <c r="J524" s="6">
        <v>0.7247337962962963</v>
      </c>
      <c r="K524" s="5">
        <v>43791</v>
      </c>
      <c r="L524" s="4" t="s">
        <v>2256</v>
      </c>
      <c r="M524" s="4"/>
      <c r="N524" s="4" t="s">
        <v>1253</v>
      </c>
      <c r="O524" s="4" t="s">
        <v>1254</v>
      </c>
      <c r="P524" s="4" t="s">
        <v>2774</v>
      </c>
      <c r="Q524" s="4" t="s">
        <v>4</v>
      </c>
      <c r="R524" s="4" t="s">
        <v>4</v>
      </c>
      <c r="S524" s="4" t="s">
        <v>10</v>
      </c>
      <c r="T524" s="4"/>
      <c r="U524" s="4"/>
      <c r="V524" s="4"/>
      <c r="W524" s="4" t="s">
        <v>1963</v>
      </c>
      <c r="X524" s="4" t="s">
        <v>511</v>
      </c>
      <c r="Y524" s="4" t="s">
        <v>511</v>
      </c>
      <c r="Z524" s="4" t="s">
        <v>2775</v>
      </c>
      <c r="AA524" s="4" t="s">
        <v>2776</v>
      </c>
      <c r="AB524" s="4" t="s">
        <v>2777</v>
      </c>
      <c r="AC524" s="4" t="s">
        <v>2778</v>
      </c>
      <c r="AD524" s="4" t="s">
        <v>17</v>
      </c>
      <c r="AE524" s="4" t="s">
        <v>18</v>
      </c>
      <c r="AF524" s="4" t="s">
        <v>19</v>
      </c>
      <c r="AG524" s="4" t="s">
        <v>19</v>
      </c>
      <c r="AH524" s="4" t="s">
        <v>2777</v>
      </c>
    </row>
    <row r="525" spans="2:34" ht="15">
      <c r="B525" s="1" t="s">
        <v>153</v>
      </c>
      <c r="C525" s="2">
        <v>43790</v>
      </c>
      <c r="D525" s="1" t="s">
        <v>154</v>
      </c>
      <c r="E525" s="1" t="s">
        <v>2779</v>
      </c>
      <c r="F525" s="1" t="s">
        <v>3</v>
      </c>
      <c r="G525" s="1" t="s">
        <v>4</v>
      </c>
      <c r="H525" s="1" t="s">
        <v>119</v>
      </c>
      <c r="I525" s="2">
        <v>43789</v>
      </c>
      <c r="J525" s="3">
        <v>0.4714236111111111</v>
      </c>
      <c r="K525" s="2">
        <v>43791</v>
      </c>
      <c r="L525" s="1" t="s">
        <v>2256</v>
      </c>
      <c r="M525" s="1"/>
      <c r="N525" s="1" t="s">
        <v>278</v>
      </c>
      <c r="O525" s="1" t="s">
        <v>279</v>
      </c>
      <c r="P525" s="1" t="s">
        <v>2395</v>
      </c>
      <c r="Q525" s="1" t="s">
        <v>4</v>
      </c>
      <c r="R525" s="1" t="s">
        <v>4</v>
      </c>
      <c r="S525" s="1" t="s">
        <v>10</v>
      </c>
      <c r="T525" s="1"/>
      <c r="U525" s="1"/>
      <c r="V525" s="1"/>
      <c r="W525" s="1" t="s">
        <v>2258</v>
      </c>
      <c r="X525" s="1" t="s">
        <v>281</v>
      </c>
      <c r="Y525" s="1" t="s">
        <v>281</v>
      </c>
      <c r="Z525" s="1" t="s">
        <v>2780</v>
      </c>
      <c r="AA525" s="1" t="s">
        <v>2781</v>
      </c>
      <c r="AB525" s="1" t="s">
        <v>2782</v>
      </c>
      <c r="AC525" s="1" t="s">
        <v>2783</v>
      </c>
      <c r="AD525" s="1" t="s">
        <v>17</v>
      </c>
      <c r="AE525" s="1" t="s">
        <v>18</v>
      </c>
      <c r="AF525" s="1" t="s">
        <v>19</v>
      </c>
      <c r="AG525" s="1" t="s">
        <v>19</v>
      </c>
      <c r="AH525" s="1" t="s">
        <v>2782</v>
      </c>
    </row>
    <row r="526" spans="2:34" ht="15">
      <c r="B526" s="4" t="s">
        <v>153</v>
      </c>
      <c r="C526" s="5">
        <v>43790</v>
      </c>
      <c r="D526" s="4" t="s">
        <v>154</v>
      </c>
      <c r="E526" s="4" t="s">
        <v>2784</v>
      </c>
      <c r="F526" s="4" t="s">
        <v>3</v>
      </c>
      <c r="G526" s="4" t="s">
        <v>4</v>
      </c>
      <c r="H526" s="4" t="s">
        <v>90</v>
      </c>
      <c r="I526" s="5">
        <v>43789</v>
      </c>
      <c r="J526" s="6">
        <v>0.4828935185185185</v>
      </c>
      <c r="K526" s="5">
        <v>43791</v>
      </c>
      <c r="L526" s="4" t="s">
        <v>2256</v>
      </c>
      <c r="M526" s="4"/>
      <c r="N526" s="4" t="s">
        <v>260</v>
      </c>
      <c r="O526" s="4" t="s">
        <v>261</v>
      </c>
      <c r="P526" s="4" t="s">
        <v>2403</v>
      </c>
      <c r="Q526" s="4" t="s">
        <v>4</v>
      </c>
      <c r="R526" s="4" t="s">
        <v>4</v>
      </c>
      <c r="S526" s="4" t="s">
        <v>10</v>
      </c>
      <c r="T526" s="4"/>
      <c r="U526" s="4"/>
      <c r="V526" s="4"/>
      <c r="W526" s="4" t="s">
        <v>2258</v>
      </c>
      <c r="X526" s="4" t="s">
        <v>2198</v>
      </c>
      <c r="Y526" s="4" t="s">
        <v>2198</v>
      </c>
      <c r="Z526" s="4" t="s">
        <v>2785</v>
      </c>
      <c r="AA526" s="4" t="s">
        <v>2786</v>
      </c>
      <c r="AB526" s="4" t="s">
        <v>2787</v>
      </c>
      <c r="AC526" s="4" t="s">
        <v>2788</v>
      </c>
      <c r="AD526" s="4" t="s">
        <v>17</v>
      </c>
      <c r="AE526" s="4" t="s">
        <v>18</v>
      </c>
      <c r="AF526" s="4" t="s">
        <v>19</v>
      </c>
      <c r="AG526" s="4" t="s">
        <v>19</v>
      </c>
      <c r="AH526" s="4" t="s">
        <v>2787</v>
      </c>
    </row>
    <row r="527" spans="2:34" ht="15">
      <c r="B527" s="1" t="s">
        <v>1518</v>
      </c>
      <c r="C527" s="2">
        <v>43791</v>
      </c>
      <c r="D527" s="1" t="s">
        <v>21</v>
      </c>
      <c r="E527" s="1" t="s">
        <v>2789</v>
      </c>
      <c r="F527" s="1" t="s">
        <v>3</v>
      </c>
      <c r="G527" s="1" t="s">
        <v>4</v>
      </c>
      <c r="H527" s="1" t="s">
        <v>2606</v>
      </c>
      <c r="I527" s="2">
        <v>43790</v>
      </c>
      <c r="J527" s="3">
        <v>0.6784722222222223</v>
      </c>
      <c r="K527" s="2">
        <v>43794</v>
      </c>
      <c r="L527" s="1" t="s">
        <v>2256</v>
      </c>
      <c r="M527" s="1"/>
      <c r="N527" s="1" t="s">
        <v>2790</v>
      </c>
      <c r="O527" s="1" t="s">
        <v>2791</v>
      </c>
      <c r="P527" s="1" t="s">
        <v>2792</v>
      </c>
      <c r="Q527" s="1" t="s">
        <v>4</v>
      </c>
      <c r="R527" s="1" t="s">
        <v>4</v>
      </c>
      <c r="S527" s="1" t="s">
        <v>10</v>
      </c>
      <c r="T527" s="1"/>
      <c r="U527" s="1"/>
      <c r="V527" s="1"/>
      <c r="W527" s="1" t="s">
        <v>1963</v>
      </c>
      <c r="X527" s="1" t="s">
        <v>2793</v>
      </c>
      <c r="Y527" s="1" t="s">
        <v>2793</v>
      </c>
      <c r="Z527" s="1" t="s">
        <v>2794</v>
      </c>
      <c r="AA527" s="1" t="s">
        <v>2795</v>
      </c>
      <c r="AB527" s="1" t="s">
        <v>2796</v>
      </c>
      <c r="AC527" s="1" t="s">
        <v>2797</v>
      </c>
      <c r="AD527" s="1" t="s">
        <v>17</v>
      </c>
      <c r="AE527" s="1" t="s">
        <v>18</v>
      </c>
      <c r="AF527" s="1" t="s">
        <v>19</v>
      </c>
      <c r="AG527" s="1" t="s">
        <v>19</v>
      </c>
      <c r="AH527" s="1" t="s">
        <v>2796</v>
      </c>
    </row>
    <row r="528" spans="2:34" ht="15">
      <c r="B528" s="4" t="s">
        <v>1518</v>
      </c>
      <c r="C528" s="5">
        <v>43791</v>
      </c>
      <c r="D528" s="4" t="s">
        <v>21</v>
      </c>
      <c r="E528" s="4" t="s">
        <v>2798</v>
      </c>
      <c r="F528" s="4" t="s">
        <v>3</v>
      </c>
      <c r="G528" s="4" t="s">
        <v>4</v>
      </c>
      <c r="H528" s="4" t="s">
        <v>183</v>
      </c>
      <c r="I528" s="5">
        <v>43790</v>
      </c>
      <c r="J528" s="6">
        <v>0.6930092592592593</v>
      </c>
      <c r="K528" s="5">
        <v>43794</v>
      </c>
      <c r="L528" s="4" t="s">
        <v>2256</v>
      </c>
      <c r="M528" s="4"/>
      <c r="N528" s="4" t="s">
        <v>1253</v>
      </c>
      <c r="O528" s="4" t="s">
        <v>1254</v>
      </c>
      <c r="P528" s="4" t="s">
        <v>2774</v>
      </c>
      <c r="Q528" s="4" t="s">
        <v>4</v>
      </c>
      <c r="R528" s="4" t="s">
        <v>4</v>
      </c>
      <c r="S528" s="4" t="s">
        <v>10</v>
      </c>
      <c r="T528" s="4"/>
      <c r="U528" s="4"/>
      <c r="V528" s="4"/>
      <c r="W528" s="4" t="s">
        <v>1963</v>
      </c>
      <c r="X528" s="4" t="s">
        <v>2799</v>
      </c>
      <c r="Y528" s="4" t="s">
        <v>2799</v>
      </c>
      <c r="Z528" s="4" t="s">
        <v>2800</v>
      </c>
      <c r="AA528" s="4" t="s">
        <v>2801</v>
      </c>
      <c r="AB528" s="4" t="s">
        <v>2802</v>
      </c>
      <c r="AC528" s="4" t="s">
        <v>2803</v>
      </c>
      <c r="AD528" s="4" t="s">
        <v>17</v>
      </c>
      <c r="AE528" s="4" t="s">
        <v>18</v>
      </c>
      <c r="AF528" s="4" t="s">
        <v>19</v>
      </c>
      <c r="AG528" s="4" t="s">
        <v>19</v>
      </c>
      <c r="AH528" s="4" t="s">
        <v>2802</v>
      </c>
    </row>
    <row r="529" spans="2:34" ht="15">
      <c r="B529" s="1" t="s">
        <v>1524</v>
      </c>
      <c r="C529" s="2">
        <v>43794</v>
      </c>
      <c r="D529" s="1" t="s">
        <v>1</v>
      </c>
      <c r="E529" s="1" t="s">
        <v>1103</v>
      </c>
      <c r="F529" s="1" t="s">
        <v>3</v>
      </c>
      <c r="G529" s="1" t="s">
        <v>4</v>
      </c>
      <c r="H529" s="1" t="s">
        <v>2804</v>
      </c>
      <c r="I529" s="2">
        <v>43790</v>
      </c>
      <c r="J529" s="3">
        <v>0.613125</v>
      </c>
      <c r="K529" s="2">
        <v>43794</v>
      </c>
      <c r="L529" s="1" t="s">
        <v>2256</v>
      </c>
      <c r="M529" s="1"/>
      <c r="N529" s="1" t="s">
        <v>2805</v>
      </c>
      <c r="O529" s="1" t="s">
        <v>2806</v>
      </c>
      <c r="P529" s="1" t="s">
        <v>2807</v>
      </c>
      <c r="Q529" s="1" t="s">
        <v>4</v>
      </c>
      <c r="R529" s="1" t="s">
        <v>4</v>
      </c>
      <c r="S529" s="1" t="s">
        <v>4</v>
      </c>
      <c r="T529" s="1"/>
      <c r="U529" s="1"/>
      <c r="V529" s="1"/>
      <c r="W529" s="1" t="s">
        <v>1963</v>
      </c>
      <c r="X529" s="1" t="s">
        <v>2808</v>
      </c>
      <c r="Y529" s="1" t="s">
        <v>2808</v>
      </c>
      <c r="Z529" s="1" t="s">
        <v>2809</v>
      </c>
      <c r="AA529" s="1" t="s">
        <v>2810</v>
      </c>
      <c r="AB529" s="1" t="s">
        <v>2811</v>
      </c>
      <c r="AC529" s="1" t="s">
        <v>2812</v>
      </c>
      <c r="AD529" s="1" t="s">
        <v>17</v>
      </c>
      <c r="AE529" s="1" t="s">
        <v>2813</v>
      </c>
      <c r="AF529" s="1" t="s">
        <v>19</v>
      </c>
      <c r="AG529" s="1" t="s">
        <v>19</v>
      </c>
      <c r="AH529" s="1" t="s">
        <v>2811</v>
      </c>
    </row>
    <row r="530" spans="2:34" ht="15">
      <c r="B530" s="4" t="s">
        <v>1518</v>
      </c>
      <c r="C530" s="5">
        <v>43794</v>
      </c>
      <c r="D530" s="4" t="s">
        <v>21</v>
      </c>
      <c r="E530" s="4" t="s">
        <v>2814</v>
      </c>
      <c r="F530" s="4" t="s">
        <v>3</v>
      </c>
      <c r="G530" s="4" t="s">
        <v>4</v>
      </c>
      <c r="H530" s="4" t="s">
        <v>183</v>
      </c>
      <c r="I530" s="5">
        <v>43791</v>
      </c>
      <c r="J530" s="6">
        <v>0.5423611111111111</v>
      </c>
      <c r="K530" s="5">
        <v>43795</v>
      </c>
      <c r="L530" s="4" t="s">
        <v>2256</v>
      </c>
      <c r="M530" s="4"/>
      <c r="N530" s="4" t="s">
        <v>1253</v>
      </c>
      <c r="O530" s="4" t="s">
        <v>1254</v>
      </c>
      <c r="P530" s="4" t="s">
        <v>2774</v>
      </c>
      <c r="Q530" s="4" t="s">
        <v>4</v>
      </c>
      <c r="R530" s="4" t="s">
        <v>4</v>
      </c>
      <c r="S530" s="4" t="s">
        <v>4</v>
      </c>
      <c r="T530" s="4"/>
      <c r="U530" s="4"/>
      <c r="V530" s="4"/>
      <c r="W530" s="4" t="s">
        <v>1963</v>
      </c>
      <c r="X530" s="4" t="s">
        <v>2815</v>
      </c>
      <c r="Y530" s="4" t="s">
        <v>2815</v>
      </c>
      <c r="Z530" s="4" t="s">
        <v>2816</v>
      </c>
      <c r="AA530" s="4" t="s">
        <v>2817</v>
      </c>
      <c r="AB530" s="4" t="s">
        <v>2818</v>
      </c>
      <c r="AC530" s="4" t="s">
        <v>2819</v>
      </c>
      <c r="AD530" s="4" t="s">
        <v>17</v>
      </c>
      <c r="AE530" s="4" t="s">
        <v>18</v>
      </c>
      <c r="AF530" s="4" t="s">
        <v>19</v>
      </c>
      <c r="AG530" s="4" t="s">
        <v>19</v>
      </c>
      <c r="AH530" s="4" t="s">
        <v>2818</v>
      </c>
    </row>
    <row r="531" spans="2:34" ht="15">
      <c r="B531" s="1" t="s">
        <v>1518</v>
      </c>
      <c r="C531" s="2">
        <v>43794</v>
      </c>
      <c r="D531" s="1" t="s">
        <v>21</v>
      </c>
      <c r="E531" s="1" t="s">
        <v>2820</v>
      </c>
      <c r="F531" s="1" t="s">
        <v>3</v>
      </c>
      <c r="G531" s="1" t="s">
        <v>4</v>
      </c>
      <c r="H531" s="1" t="s">
        <v>119</v>
      </c>
      <c r="I531" s="2">
        <v>43791</v>
      </c>
      <c r="J531" s="3">
        <v>0.6922800925925926</v>
      </c>
      <c r="K531" s="2">
        <v>43795</v>
      </c>
      <c r="L531" s="1" t="s">
        <v>2256</v>
      </c>
      <c r="M531" s="1"/>
      <c r="N531" s="1" t="s">
        <v>977</v>
      </c>
      <c r="O531" s="1" t="s">
        <v>978</v>
      </c>
      <c r="P531" s="1" t="s">
        <v>2453</v>
      </c>
      <c r="Q531" s="1" t="s">
        <v>4</v>
      </c>
      <c r="R531" s="1" t="s">
        <v>4</v>
      </c>
      <c r="S531" s="1" t="s">
        <v>4</v>
      </c>
      <c r="T531" s="1"/>
      <c r="U531" s="1"/>
      <c r="V531" s="1"/>
      <c r="W531" s="1" t="s">
        <v>1963</v>
      </c>
      <c r="X531" s="1" t="s">
        <v>2821</v>
      </c>
      <c r="Y531" s="1" t="s">
        <v>2821</v>
      </c>
      <c r="Z531" s="1" t="s">
        <v>2822</v>
      </c>
      <c r="AA531" s="1" t="s">
        <v>2823</v>
      </c>
      <c r="AB531" s="1" t="s">
        <v>2824</v>
      </c>
      <c r="AC531" s="1" t="s">
        <v>2825</v>
      </c>
      <c r="AD531" s="1" t="s">
        <v>17</v>
      </c>
      <c r="AE531" s="1" t="s">
        <v>2826</v>
      </c>
      <c r="AF531" s="1" t="s">
        <v>19</v>
      </c>
      <c r="AG531" s="1" t="s">
        <v>19</v>
      </c>
      <c r="AH531" s="1" t="s">
        <v>2824</v>
      </c>
    </row>
    <row r="532" spans="2:34" ht="15">
      <c r="B532" s="4" t="s">
        <v>1518</v>
      </c>
      <c r="C532" s="5">
        <v>43794</v>
      </c>
      <c r="D532" s="4" t="s">
        <v>21</v>
      </c>
      <c r="E532" s="4" t="s">
        <v>2827</v>
      </c>
      <c r="F532" s="4" t="s">
        <v>3</v>
      </c>
      <c r="G532" s="4" t="s">
        <v>4</v>
      </c>
      <c r="H532" s="4" t="s">
        <v>325</v>
      </c>
      <c r="I532" s="5">
        <v>43791</v>
      </c>
      <c r="J532" s="6">
        <v>0.6867824074074074</v>
      </c>
      <c r="K532" s="5">
        <v>43795</v>
      </c>
      <c r="L532" s="4" t="s">
        <v>2256</v>
      </c>
      <c r="M532" s="4"/>
      <c r="N532" s="4" t="s">
        <v>1082</v>
      </c>
      <c r="O532" s="4" t="s">
        <v>1065</v>
      </c>
      <c r="P532" s="4" t="s">
        <v>2828</v>
      </c>
      <c r="Q532" s="4" t="s">
        <v>4</v>
      </c>
      <c r="R532" s="4" t="s">
        <v>4</v>
      </c>
      <c r="S532" s="4" t="s">
        <v>4</v>
      </c>
      <c r="T532" s="4"/>
      <c r="U532" s="4"/>
      <c r="V532" s="4"/>
      <c r="W532" s="4" t="s">
        <v>1963</v>
      </c>
      <c r="X532" s="4" t="s">
        <v>2829</v>
      </c>
      <c r="Y532" s="4" t="s">
        <v>2829</v>
      </c>
      <c r="Z532" s="4" t="s">
        <v>2830</v>
      </c>
      <c r="AA532" s="4" t="s">
        <v>2831</v>
      </c>
      <c r="AB532" s="4" t="s">
        <v>2832</v>
      </c>
      <c r="AC532" s="4" t="s">
        <v>2833</v>
      </c>
      <c r="AD532" s="4" t="s">
        <v>17</v>
      </c>
      <c r="AE532" s="4" t="s">
        <v>18</v>
      </c>
      <c r="AF532" s="4" t="s">
        <v>19</v>
      </c>
      <c r="AG532" s="4" t="s">
        <v>19</v>
      </c>
      <c r="AH532" s="4" t="s">
        <v>2832</v>
      </c>
    </row>
    <row r="533" spans="2:34" ht="15">
      <c r="B533" s="1" t="s">
        <v>1518</v>
      </c>
      <c r="C533" s="2">
        <v>43794</v>
      </c>
      <c r="D533" s="1" t="s">
        <v>21</v>
      </c>
      <c r="E533" s="1" t="s">
        <v>2834</v>
      </c>
      <c r="F533" s="1" t="s">
        <v>3</v>
      </c>
      <c r="G533" s="1" t="s">
        <v>4</v>
      </c>
      <c r="H533" s="1" t="s">
        <v>2606</v>
      </c>
      <c r="I533" s="2">
        <v>43791</v>
      </c>
      <c r="J533" s="3">
        <v>0.6528819444444445</v>
      </c>
      <c r="K533" s="2">
        <v>43795</v>
      </c>
      <c r="L533" s="1" t="s">
        <v>2256</v>
      </c>
      <c r="M533" s="1"/>
      <c r="N533" s="1" t="s">
        <v>2790</v>
      </c>
      <c r="O533" s="1" t="s">
        <v>2791</v>
      </c>
      <c r="P533" s="1" t="s">
        <v>2792</v>
      </c>
      <c r="Q533" s="1" t="s">
        <v>4</v>
      </c>
      <c r="R533" s="1" t="s">
        <v>4</v>
      </c>
      <c r="S533" s="1" t="s">
        <v>4</v>
      </c>
      <c r="T533" s="1"/>
      <c r="U533" s="1"/>
      <c r="V533" s="1"/>
      <c r="W533" s="1" t="s">
        <v>1963</v>
      </c>
      <c r="X533" s="1" t="s">
        <v>1042</v>
      </c>
      <c r="Y533" s="1" t="s">
        <v>1042</v>
      </c>
      <c r="Z533" s="1" t="s">
        <v>2835</v>
      </c>
      <c r="AA533" s="1" t="s">
        <v>2836</v>
      </c>
      <c r="AB533" s="1" t="s">
        <v>2837</v>
      </c>
      <c r="AC533" s="1" t="s">
        <v>2838</v>
      </c>
      <c r="AD533" s="1" t="s">
        <v>17</v>
      </c>
      <c r="AE533" s="1" t="s">
        <v>18</v>
      </c>
      <c r="AF533" s="1" t="s">
        <v>19</v>
      </c>
      <c r="AG533" s="1" t="s">
        <v>19</v>
      </c>
      <c r="AH533" s="1" t="s">
        <v>2837</v>
      </c>
    </row>
    <row r="534" spans="2:34" ht="15">
      <c r="B534" s="4" t="s">
        <v>1518</v>
      </c>
      <c r="C534" s="5">
        <v>43794</v>
      </c>
      <c r="D534" s="4" t="s">
        <v>21</v>
      </c>
      <c r="E534" s="4" t="s">
        <v>2839</v>
      </c>
      <c r="F534" s="4" t="s">
        <v>3</v>
      </c>
      <c r="G534" s="4" t="s">
        <v>4</v>
      </c>
      <c r="H534" s="4" t="s">
        <v>2331</v>
      </c>
      <c r="I534" s="5">
        <v>43791</v>
      </c>
      <c r="J534" s="6">
        <v>0.6368055555555555</v>
      </c>
      <c r="K534" s="5">
        <v>43795</v>
      </c>
      <c r="L534" s="4" t="s">
        <v>2256</v>
      </c>
      <c r="M534" s="4"/>
      <c r="N534" s="4" t="s">
        <v>223</v>
      </c>
      <c r="O534" s="4" t="s">
        <v>224</v>
      </c>
      <c r="P534" s="4" t="s">
        <v>2840</v>
      </c>
      <c r="Q534" s="4" t="s">
        <v>4</v>
      </c>
      <c r="R534" s="4" t="s">
        <v>4</v>
      </c>
      <c r="S534" s="4" t="s">
        <v>4</v>
      </c>
      <c r="T534" s="4"/>
      <c r="U534" s="4"/>
      <c r="V534" s="4"/>
      <c r="W534" s="4" t="s">
        <v>1963</v>
      </c>
      <c r="X534" s="4" t="s">
        <v>1025</v>
      </c>
      <c r="Y534" s="4" t="s">
        <v>1025</v>
      </c>
      <c r="Z534" s="4" t="s">
        <v>2841</v>
      </c>
      <c r="AA534" s="4" t="s">
        <v>2842</v>
      </c>
      <c r="AB534" s="4" t="s">
        <v>2843</v>
      </c>
      <c r="AC534" s="4" t="s">
        <v>2844</v>
      </c>
      <c r="AD534" s="4" t="s">
        <v>17</v>
      </c>
      <c r="AE534" s="4" t="s">
        <v>2845</v>
      </c>
      <c r="AF534" s="4" t="s">
        <v>19</v>
      </c>
      <c r="AG534" s="4" t="s">
        <v>19</v>
      </c>
      <c r="AH534" s="4" t="s">
        <v>2843</v>
      </c>
    </row>
    <row r="535" spans="2:34" ht="15">
      <c r="B535" s="1" t="s">
        <v>1518</v>
      </c>
      <c r="C535" s="2">
        <v>43794</v>
      </c>
      <c r="D535" s="1" t="s">
        <v>21</v>
      </c>
      <c r="E535" s="1" t="s">
        <v>2846</v>
      </c>
      <c r="F535" s="1" t="s">
        <v>3</v>
      </c>
      <c r="G535" s="1" t="s">
        <v>4</v>
      </c>
      <c r="H535" s="1" t="s">
        <v>23</v>
      </c>
      <c r="I535" s="2">
        <v>43791</v>
      </c>
      <c r="J535" s="3">
        <v>0.6457060185185185</v>
      </c>
      <c r="K535" s="2">
        <v>43795</v>
      </c>
      <c r="L535" s="1" t="s">
        <v>2256</v>
      </c>
      <c r="M535" s="1"/>
      <c r="N535" s="1" t="s">
        <v>2847</v>
      </c>
      <c r="O535" s="1" t="s">
        <v>2848</v>
      </c>
      <c r="P535" s="1" t="s">
        <v>2849</v>
      </c>
      <c r="Q535" s="1" t="s">
        <v>4</v>
      </c>
      <c r="R535" s="1" t="s">
        <v>4</v>
      </c>
      <c r="S535" s="1" t="s">
        <v>4</v>
      </c>
      <c r="T535" s="1"/>
      <c r="U535" s="1"/>
      <c r="V535" s="1"/>
      <c r="W535" s="1" t="s">
        <v>1963</v>
      </c>
      <c r="X535" s="1" t="s">
        <v>2850</v>
      </c>
      <c r="Y535" s="1" t="s">
        <v>2850</v>
      </c>
      <c r="Z535" s="1" t="s">
        <v>2851</v>
      </c>
      <c r="AA535" s="1" t="s">
        <v>2852</v>
      </c>
      <c r="AB535" s="1" t="s">
        <v>2853</v>
      </c>
      <c r="AC535" s="1" t="s">
        <v>2854</v>
      </c>
      <c r="AD535" s="1" t="s">
        <v>17</v>
      </c>
      <c r="AE535" s="1" t="s">
        <v>18</v>
      </c>
      <c r="AF535" s="1" t="s">
        <v>19</v>
      </c>
      <c r="AG535" s="1" t="s">
        <v>19</v>
      </c>
      <c r="AH535" s="1" t="s">
        <v>2853</v>
      </c>
    </row>
    <row r="536" spans="2:34" ht="15">
      <c r="B536" s="4" t="s">
        <v>1524</v>
      </c>
      <c r="C536" s="5">
        <v>43794</v>
      </c>
      <c r="D536" s="4" t="s">
        <v>1</v>
      </c>
      <c r="E536" s="4" t="s">
        <v>2855</v>
      </c>
      <c r="F536" s="4" t="s">
        <v>3</v>
      </c>
      <c r="G536" s="4" t="s">
        <v>4</v>
      </c>
      <c r="H536" s="4" t="s">
        <v>2804</v>
      </c>
      <c r="I536" s="5">
        <v>43789</v>
      </c>
      <c r="J536" s="6">
        <v>0.45902777777777776</v>
      </c>
      <c r="K536" s="5">
        <v>43791</v>
      </c>
      <c r="L536" s="4" t="s">
        <v>2256</v>
      </c>
      <c r="M536" s="4"/>
      <c r="N536" s="4" t="s">
        <v>2805</v>
      </c>
      <c r="O536" s="4" t="s">
        <v>2806</v>
      </c>
      <c r="P536" s="4" t="s">
        <v>2807</v>
      </c>
      <c r="Q536" s="4" t="s">
        <v>4</v>
      </c>
      <c r="R536" s="4" t="s">
        <v>4</v>
      </c>
      <c r="S536" s="4" t="s">
        <v>4</v>
      </c>
      <c r="T536" s="4"/>
      <c r="U536" s="4"/>
      <c r="V536" s="4"/>
      <c r="W536" s="4" t="s">
        <v>1963</v>
      </c>
      <c r="X536" s="4" t="s">
        <v>2856</v>
      </c>
      <c r="Y536" s="4" t="s">
        <v>2808</v>
      </c>
      <c r="Z536" s="4" t="s">
        <v>2857</v>
      </c>
      <c r="AA536" s="4" t="s">
        <v>2858</v>
      </c>
      <c r="AB536" s="4" t="s">
        <v>2859</v>
      </c>
      <c r="AC536" s="4" t="s">
        <v>2860</v>
      </c>
      <c r="AD536" s="4" t="s">
        <v>17</v>
      </c>
      <c r="AE536" s="4" t="s">
        <v>2861</v>
      </c>
      <c r="AF536" s="4" t="s">
        <v>19</v>
      </c>
      <c r="AG536" s="4" t="s">
        <v>19</v>
      </c>
      <c r="AH536" s="4" t="s">
        <v>2859</v>
      </c>
    </row>
    <row r="537" spans="2:34" ht="15">
      <c r="B537" s="1" t="s">
        <v>1518</v>
      </c>
      <c r="C537" s="2">
        <v>43794</v>
      </c>
      <c r="D537" s="1" t="s">
        <v>21</v>
      </c>
      <c r="E537" s="1" t="s">
        <v>2862</v>
      </c>
      <c r="F537" s="1" t="s">
        <v>3</v>
      </c>
      <c r="G537" s="1" t="s">
        <v>4</v>
      </c>
      <c r="H537" s="1" t="s">
        <v>23</v>
      </c>
      <c r="I537" s="2">
        <v>43791</v>
      </c>
      <c r="J537" s="3">
        <v>0.6450694444444445</v>
      </c>
      <c r="K537" s="2">
        <v>43795</v>
      </c>
      <c r="L537" s="1" t="s">
        <v>2256</v>
      </c>
      <c r="M537" s="1"/>
      <c r="N537" s="1" t="s">
        <v>174</v>
      </c>
      <c r="O537" s="1" t="s">
        <v>175</v>
      </c>
      <c r="P537" s="1" t="s">
        <v>2863</v>
      </c>
      <c r="Q537" s="1" t="s">
        <v>4</v>
      </c>
      <c r="R537" s="1" t="s">
        <v>4</v>
      </c>
      <c r="S537" s="1" t="s">
        <v>4</v>
      </c>
      <c r="T537" s="1"/>
      <c r="U537" s="1"/>
      <c r="V537" s="1"/>
      <c r="W537" s="1" t="s">
        <v>1963</v>
      </c>
      <c r="X537" s="1" t="s">
        <v>42</v>
      </c>
      <c r="Y537" s="1" t="s">
        <v>2808</v>
      </c>
      <c r="Z537" s="1" t="s">
        <v>2864</v>
      </c>
      <c r="AA537" s="1" t="s">
        <v>1227</v>
      </c>
      <c r="AB537" s="1" t="s">
        <v>2865</v>
      </c>
      <c r="AC537" s="1" t="s">
        <v>2866</v>
      </c>
      <c r="AD537" s="1" t="s">
        <v>17</v>
      </c>
      <c r="AE537" s="1" t="s">
        <v>18</v>
      </c>
      <c r="AF537" s="1" t="s">
        <v>19</v>
      </c>
      <c r="AG537" s="1" t="s">
        <v>19</v>
      </c>
      <c r="AH537" s="1" t="s">
        <v>2865</v>
      </c>
    </row>
    <row r="538" spans="2:34" ht="15">
      <c r="B538" s="4" t="s">
        <v>1518</v>
      </c>
      <c r="C538" s="5">
        <v>43794</v>
      </c>
      <c r="D538" s="4" t="s">
        <v>21</v>
      </c>
      <c r="E538" s="4" t="s">
        <v>2867</v>
      </c>
      <c r="F538" s="4" t="s">
        <v>3</v>
      </c>
      <c r="G538" s="4" t="s">
        <v>4</v>
      </c>
      <c r="H538" s="4" t="s">
        <v>119</v>
      </c>
      <c r="I538" s="5">
        <v>43791</v>
      </c>
      <c r="J538" s="6">
        <v>0.45902777777777776</v>
      </c>
      <c r="K538" s="5">
        <v>43795</v>
      </c>
      <c r="L538" s="4" t="s">
        <v>2256</v>
      </c>
      <c r="M538" s="4"/>
      <c r="N538" s="4" t="s">
        <v>1967</v>
      </c>
      <c r="O538" s="4" t="s">
        <v>1954</v>
      </c>
      <c r="P538" s="4" t="s">
        <v>2655</v>
      </c>
      <c r="Q538" s="4" t="s">
        <v>4</v>
      </c>
      <c r="R538" s="4" t="s">
        <v>4</v>
      </c>
      <c r="S538" s="4" t="s">
        <v>4</v>
      </c>
      <c r="T538" s="4"/>
      <c r="U538" s="4"/>
      <c r="V538" s="4"/>
      <c r="W538" s="4" t="s">
        <v>2258</v>
      </c>
      <c r="X538" s="4" t="s">
        <v>2673</v>
      </c>
      <c r="Y538" s="4" t="s">
        <v>2808</v>
      </c>
      <c r="Z538" s="4" t="s">
        <v>2868</v>
      </c>
      <c r="AA538" s="4" t="s">
        <v>2869</v>
      </c>
      <c r="AB538" s="4" t="s">
        <v>2870</v>
      </c>
      <c r="AC538" s="4" t="s">
        <v>2871</v>
      </c>
      <c r="AD538" s="4" t="s">
        <v>17</v>
      </c>
      <c r="AE538" s="4" t="s">
        <v>18</v>
      </c>
      <c r="AF538" s="4" t="s">
        <v>19</v>
      </c>
      <c r="AG538" s="4" t="s">
        <v>19</v>
      </c>
      <c r="AH538" s="4" t="s">
        <v>2870</v>
      </c>
    </row>
    <row r="539" spans="2:34" ht="15">
      <c r="B539" s="1" t="s">
        <v>1524</v>
      </c>
      <c r="C539" s="2">
        <v>43794</v>
      </c>
      <c r="D539" s="1" t="s">
        <v>1</v>
      </c>
      <c r="E539" s="1" t="s">
        <v>2872</v>
      </c>
      <c r="F539" s="1" t="s">
        <v>3</v>
      </c>
      <c r="G539" s="1" t="s">
        <v>4</v>
      </c>
      <c r="H539" s="1" t="s">
        <v>119</v>
      </c>
      <c r="I539" s="2">
        <v>43791</v>
      </c>
      <c r="J539" s="3">
        <v>0.45902777777777776</v>
      </c>
      <c r="K539" s="2">
        <v>43795</v>
      </c>
      <c r="L539" s="1" t="s">
        <v>2256</v>
      </c>
      <c r="M539" s="1"/>
      <c r="N539" s="1" t="s">
        <v>1967</v>
      </c>
      <c r="O539" s="1" t="s">
        <v>1954</v>
      </c>
      <c r="P539" s="1" t="s">
        <v>2655</v>
      </c>
      <c r="Q539" s="1" t="s">
        <v>4</v>
      </c>
      <c r="R539" s="1" t="s">
        <v>4</v>
      </c>
      <c r="S539" s="1" t="s">
        <v>4</v>
      </c>
      <c r="T539" s="1"/>
      <c r="U539" s="1"/>
      <c r="V539" s="1"/>
      <c r="W539" s="1" t="s">
        <v>2258</v>
      </c>
      <c r="X539" s="1" t="s">
        <v>2678</v>
      </c>
      <c r="Y539" s="1" t="s">
        <v>2808</v>
      </c>
      <c r="Z539" s="1" t="s">
        <v>2868</v>
      </c>
      <c r="AA539" s="1" t="s">
        <v>2873</v>
      </c>
      <c r="AB539" s="1" t="s">
        <v>2874</v>
      </c>
      <c r="AC539" s="1" t="s">
        <v>2875</v>
      </c>
      <c r="AD539" s="1" t="s">
        <v>17</v>
      </c>
      <c r="AE539" s="1" t="s">
        <v>18</v>
      </c>
      <c r="AF539" s="1" t="s">
        <v>19</v>
      </c>
      <c r="AG539" s="1" t="s">
        <v>19</v>
      </c>
      <c r="AH539" s="1" t="s">
        <v>2874</v>
      </c>
    </row>
    <row r="540" spans="2:34" ht="15">
      <c r="B540" s="4" t="s">
        <v>1518</v>
      </c>
      <c r="C540" s="5">
        <v>43795</v>
      </c>
      <c r="D540" s="4" t="s">
        <v>21</v>
      </c>
      <c r="E540" s="4" t="s">
        <v>2876</v>
      </c>
      <c r="F540" s="4" t="s">
        <v>3</v>
      </c>
      <c r="G540" s="4" t="s">
        <v>4</v>
      </c>
      <c r="H540" s="4" t="s">
        <v>2606</v>
      </c>
      <c r="I540" s="5">
        <v>43794</v>
      </c>
      <c r="J540" s="6">
        <v>0.45902777777777776</v>
      </c>
      <c r="K540" s="5">
        <v>43796</v>
      </c>
      <c r="L540" s="4" t="s">
        <v>2256</v>
      </c>
      <c r="M540" s="4"/>
      <c r="N540" s="4" t="s">
        <v>2790</v>
      </c>
      <c r="O540" s="4" t="s">
        <v>2791</v>
      </c>
      <c r="P540" s="4" t="s">
        <v>2792</v>
      </c>
      <c r="Q540" s="4" t="s">
        <v>4</v>
      </c>
      <c r="R540" s="4" t="s">
        <v>4</v>
      </c>
      <c r="S540" s="4" t="s">
        <v>4</v>
      </c>
      <c r="T540" s="4"/>
      <c r="U540" s="4"/>
      <c r="V540" s="4"/>
      <c r="W540" s="4" t="s">
        <v>1963</v>
      </c>
      <c r="X540" s="4" t="s">
        <v>2877</v>
      </c>
      <c r="Y540" s="4" t="s">
        <v>2877</v>
      </c>
      <c r="Z540" s="4" t="s">
        <v>2835</v>
      </c>
      <c r="AA540" s="4" t="s">
        <v>2878</v>
      </c>
      <c r="AB540" s="4" t="s">
        <v>2879</v>
      </c>
      <c r="AC540" s="4" t="s">
        <v>2880</v>
      </c>
      <c r="AD540" s="4" t="s">
        <v>17</v>
      </c>
      <c r="AE540" s="4" t="s">
        <v>18</v>
      </c>
      <c r="AF540" s="4" t="s">
        <v>19</v>
      </c>
      <c r="AG540" s="4" t="s">
        <v>19</v>
      </c>
      <c r="AH540" s="4" t="s">
        <v>2879</v>
      </c>
    </row>
    <row r="541" spans="2:34" ht="15">
      <c r="B541" s="1" t="s">
        <v>1518</v>
      </c>
      <c r="C541" s="2">
        <v>43795</v>
      </c>
      <c r="D541" s="1" t="s">
        <v>21</v>
      </c>
      <c r="E541" s="1" t="s">
        <v>2881</v>
      </c>
      <c r="F541" s="1" t="s">
        <v>3</v>
      </c>
      <c r="G541" s="1" t="s">
        <v>4</v>
      </c>
      <c r="H541" s="1" t="s">
        <v>183</v>
      </c>
      <c r="I541" s="2">
        <v>43794</v>
      </c>
      <c r="J541" s="3">
        <v>0.6586689814814815</v>
      </c>
      <c r="K541" s="2">
        <v>43796</v>
      </c>
      <c r="L541" s="1" t="s">
        <v>2256</v>
      </c>
      <c r="M541" s="1"/>
      <c r="N541" s="1" t="s">
        <v>1253</v>
      </c>
      <c r="O541" s="1" t="s">
        <v>1254</v>
      </c>
      <c r="P541" s="1" t="s">
        <v>2774</v>
      </c>
      <c r="Q541" s="1" t="s">
        <v>4</v>
      </c>
      <c r="R541" s="1" t="s">
        <v>4</v>
      </c>
      <c r="S541" s="1" t="s">
        <v>4</v>
      </c>
      <c r="T541" s="1"/>
      <c r="U541" s="1"/>
      <c r="V541" s="1"/>
      <c r="W541" s="1" t="s">
        <v>1963</v>
      </c>
      <c r="X541" s="1" t="s">
        <v>1031</v>
      </c>
      <c r="Y541" s="1" t="s">
        <v>1031</v>
      </c>
      <c r="Z541" s="1" t="s">
        <v>2882</v>
      </c>
      <c r="AA541" s="1" t="s">
        <v>953</v>
      </c>
      <c r="AB541" s="1" t="s">
        <v>2883</v>
      </c>
      <c r="AC541" s="1" t="s">
        <v>2884</v>
      </c>
      <c r="AD541" s="1" t="s">
        <v>17</v>
      </c>
      <c r="AE541" s="1" t="s">
        <v>18</v>
      </c>
      <c r="AF541" s="1" t="s">
        <v>19</v>
      </c>
      <c r="AG541" s="1" t="s">
        <v>19</v>
      </c>
      <c r="AH541" s="1" t="s">
        <v>2883</v>
      </c>
    </row>
    <row r="542" spans="2:34" ht="15">
      <c r="B542" s="4" t="s">
        <v>1518</v>
      </c>
      <c r="C542" s="5">
        <v>43796</v>
      </c>
      <c r="D542" s="4" t="s">
        <v>21</v>
      </c>
      <c r="E542" s="4" t="s">
        <v>2885</v>
      </c>
      <c r="F542" s="4" t="s">
        <v>3</v>
      </c>
      <c r="G542" s="4" t="s">
        <v>4</v>
      </c>
      <c r="H542" s="4" t="s">
        <v>2606</v>
      </c>
      <c r="I542" s="5">
        <v>43795</v>
      </c>
      <c r="J542" s="6">
        <v>0.3816203703703704</v>
      </c>
      <c r="K542" s="5">
        <v>43797</v>
      </c>
      <c r="L542" s="4" t="s">
        <v>2256</v>
      </c>
      <c r="M542" s="4"/>
      <c r="N542" s="4" t="s">
        <v>2790</v>
      </c>
      <c r="O542" s="4" t="s">
        <v>2791</v>
      </c>
      <c r="P542" s="4" t="s">
        <v>2792</v>
      </c>
      <c r="Q542" s="4" t="s">
        <v>4</v>
      </c>
      <c r="R542" s="4" t="s">
        <v>4</v>
      </c>
      <c r="S542" s="4" t="s">
        <v>4</v>
      </c>
      <c r="T542" s="4"/>
      <c r="U542" s="4"/>
      <c r="V542" s="4"/>
      <c r="W542" s="4" t="s">
        <v>1963</v>
      </c>
      <c r="X542" s="4" t="s">
        <v>2886</v>
      </c>
      <c r="Y542" s="4" t="s">
        <v>2886</v>
      </c>
      <c r="Z542" s="4" t="s">
        <v>2887</v>
      </c>
      <c r="AA542" s="4" t="s">
        <v>2888</v>
      </c>
      <c r="AB542" s="4" t="s">
        <v>2889</v>
      </c>
      <c r="AC542" s="4" t="s">
        <v>2890</v>
      </c>
      <c r="AD542" s="4" t="s">
        <v>17</v>
      </c>
      <c r="AE542" s="4" t="s">
        <v>18</v>
      </c>
      <c r="AF542" s="4" t="s">
        <v>19</v>
      </c>
      <c r="AG542" s="4" t="s">
        <v>19</v>
      </c>
      <c r="AH542" s="4" t="s">
        <v>2889</v>
      </c>
    </row>
    <row r="543" spans="2:34" ht="15">
      <c r="B543" s="1" t="s">
        <v>1518</v>
      </c>
      <c r="C543" s="2">
        <v>43796</v>
      </c>
      <c r="D543" s="1" t="s">
        <v>21</v>
      </c>
      <c r="E543" s="1" t="s">
        <v>2891</v>
      </c>
      <c r="F543" s="1" t="s">
        <v>3</v>
      </c>
      <c r="G543" s="1" t="s">
        <v>4</v>
      </c>
      <c r="H543" s="1" t="s">
        <v>2606</v>
      </c>
      <c r="I543" s="2">
        <v>43795</v>
      </c>
      <c r="J543" s="3">
        <v>0.476875</v>
      </c>
      <c r="K543" s="2">
        <v>43797</v>
      </c>
      <c r="L543" s="1" t="s">
        <v>2256</v>
      </c>
      <c r="M543" s="1"/>
      <c r="N543" s="1" t="s">
        <v>2790</v>
      </c>
      <c r="O543" s="1" t="s">
        <v>2791</v>
      </c>
      <c r="P543" s="1" t="s">
        <v>2792</v>
      </c>
      <c r="Q543" s="1" t="s">
        <v>4</v>
      </c>
      <c r="R543" s="1" t="s">
        <v>4</v>
      </c>
      <c r="S543" s="1" t="s">
        <v>4</v>
      </c>
      <c r="T543" s="1"/>
      <c r="U543" s="1"/>
      <c r="V543" s="1"/>
      <c r="W543" s="1" t="s">
        <v>1963</v>
      </c>
      <c r="X543" s="1" t="s">
        <v>2892</v>
      </c>
      <c r="Y543" s="1" t="s">
        <v>2892</v>
      </c>
      <c r="Z543" s="1" t="s">
        <v>2887</v>
      </c>
      <c r="AA543" s="1" t="s">
        <v>2893</v>
      </c>
      <c r="AB543" s="1" t="s">
        <v>2894</v>
      </c>
      <c r="AC543" s="1" t="s">
        <v>2895</v>
      </c>
      <c r="AD543" s="1" t="s">
        <v>17</v>
      </c>
      <c r="AE543" s="1" t="s">
        <v>18</v>
      </c>
      <c r="AF543" s="1" t="s">
        <v>19</v>
      </c>
      <c r="AG543" s="1" t="s">
        <v>19</v>
      </c>
      <c r="AH543" s="1" t="s">
        <v>2894</v>
      </c>
    </row>
    <row r="544" spans="2:34" ht="15">
      <c r="B544" s="4" t="s">
        <v>1518</v>
      </c>
      <c r="C544" s="5">
        <v>43797</v>
      </c>
      <c r="D544" s="4" t="s">
        <v>21</v>
      </c>
      <c r="E544" s="4" t="s">
        <v>2896</v>
      </c>
      <c r="F544" s="4" t="s">
        <v>3</v>
      </c>
      <c r="G544" s="4" t="s">
        <v>4</v>
      </c>
      <c r="H544" s="4" t="s">
        <v>183</v>
      </c>
      <c r="I544" s="5">
        <v>43796</v>
      </c>
      <c r="J544" s="6">
        <v>0.6908217592592593</v>
      </c>
      <c r="K544" s="5">
        <v>43798</v>
      </c>
      <c r="L544" s="4" t="s">
        <v>2256</v>
      </c>
      <c r="M544" s="4"/>
      <c r="N544" s="4" t="s">
        <v>1253</v>
      </c>
      <c r="O544" s="4" t="s">
        <v>1254</v>
      </c>
      <c r="P544" s="4" t="s">
        <v>2774</v>
      </c>
      <c r="Q544" s="4" t="s">
        <v>4</v>
      </c>
      <c r="R544" s="4" t="s">
        <v>4</v>
      </c>
      <c r="S544" s="4" t="s">
        <v>4</v>
      </c>
      <c r="T544" s="4"/>
      <c r="U544" s="4"/>
      <c r="V544" s="4"/>
      <c r="W544" s="4" t="s">
        <v>1963</v>
      </c>
      <c r="X544" s="4" t="s">
        <v>2897</v>
      </c>
      <c r="Y544" s="4" t="s">
        <v>2897</v>
      </c>
      <c r="Z544" s="4" t="s">
        <v>2898</v>
      </c>
      <c r="AA544" s="4" t="s">
        <v>2899</v>
      </c>
      <c r="AB544" s="4" t="s">
        <v>2900</v>
      </c>
      <c r="AC544" s="4" t="s">
        <v>2901</v>
      </c>
      <c r="AD544" s="4" t="s">
        <v>17</v>
      </c>
      <c r="AE544" s="4" t="s">
        <v>18</v>
      </c>
      <c r="AF544" s="4" t="s">
        <v>19</v>
      </c>
      <c r="AG544" s="4" t="s">
        <v>19</v>
      </c>
      <c r="AH544" s="4" t="s">
        <v>2900</v>
      </c>
    </row>
    <row r="545" spans="2:34" ht="15">
      <c r="B545" s="1" t="s">
        <v>1518</v>
      </c>
      <c r="C545" s="2">
        <v>43797</v>
      </c>
      <c r="D545" s="1" t="s">
        <v>21</v>
      </c>
      <c r="E545" s="1" t="s">
        <v>2902</v>
      </c>
      <c r="F545" s="1" t="s">
        <v>3</v>
      </c>
      <c r="G545" s="1" t="s">
        <v>4</v>
      </c>
      <c r="H545" s="1" t="s">
        <v>119</v>
      </c>
      <c r="I545" s="2">
        <v>43796</v>
      </c>
      <c r="J545" s="3">
        <v>0.6059490740740741</v>
      </c>
      <c r="K545" s="2">
        <v>43798</v>
      </c>
      <c r="L545" s="1" t="s">
        <v>2256</v>
      </c>
      <c r="M545" s="1"/>
      <c r="N545" s="1" t="s">
        <v>977</v>
      </c>
      <c r="O545" s="1" t="s">
        <v>978</v>
      </c>
      <c r="P545" s="1" t="s">
        <v>2453</v>
      </c>
      <c r="Q545" s="1" t="s">
        <v>4</v>
      </c>
      <c r="R545" s="1" t="s">
        <v>4</v>
      </c>
      <c r="S545" s="1" t="s">
        <v>4</v>
      </c>
      <c r="T545" s="1"/>
      <c r="U545" s="1"/>
      <c r="V545" s="1"/>
      <c r="W545" s="1" t="s">
        <v>1963</v>
      </c>
      <c r="X545" s="1" t="s">
        <v>2903</v>
      </c>
      <c r="Y545" s="1" t="s">
        <v>2903</v>
      </c>
      <c r="Z545" s="1" t="s">
        <v>2904</v>
      </c>
      <c r="AA545" s="1" t="s">
        <v>2905</v>
      </c>
      <c r="AB545" s="1" t="s">
        <v>2906</v>
      </c>
      <c r="AC545" s="1" t="s">
        <v>2907</v>
      </c>
      <c r="AD545" s="1" t="s">
        <v>17</v>
      </c>
      <c r="AE545" s="1" t="s">
        <v>2908</v>
      </c>
      <c r="AF545" s="1" t="s">
        <v>19</v>
      </c>
      <c r="AG545" s="1" t="s">
        <v>19</v>
      </c>
      <c r="AH545" s="1" t="s">
        <v>2906</v>
      </c>
    </row>
    <row r="546" spans="2:34" ht="15">
      <c r="B546" s="4" t="s">
        <v>1518</v>
      </c>
      <c r="C546" s="5">
        <v>43797</v>
      </c>
      <c r="D546" s="4" t="s">
        <v>21</v>
      </c>
      <c r="E546" s="4" t="s">
        <v>2909</v>
      </c>
      <c r="F546" s="4" t="s">
        <v>3</v>
      </c>
      <c r="G546" s="4" t="s">
        <v>4</v>
      </c>
      <c r="H546" s="4" t="s">
        <v>2331</v>
      </c>
      <c r="I546" s="5">
        <v>43796</v>
      </c>
      <c r="J546" s="6">
        <v>0.5819328703703703</v>
      </c>
      <c r="K546" s="5">
        <v>43798</v>
      </c>
      <c r="L546" s="4" t="s">
        <v>2256</v>
      </c>
      <c r="M546" s="4"/>
      <c r="N546" s="4" t="s">
        <v>508</v>
      </c>
      <c r="O546" s="4" t="s">
        <v>509</v>
      </c>
      <c r="P546" s="4" t="s">
        <v>2414</v>
      </c>
      <c r="Q546" s="4" t="s">
        <v>4</v>
      </c>
      <c r="R546" s="4" t="s">
        <v>4</v>
      </c>
      <c r="S546" s="4" t="s">
        <v>4</v>
      </c>
      <c r="T546" s="4"/>
      <c r="U546" s="4"/>
      <c r="V546" s="4"/>
      <c r="W546" s="4" t="s">
        <v>2258</v>
      </c>
      <c r="X546" s="4" t="s">
        <v>1025</v>
      </c>
      <c r="Y546" s="4" t="s">
        <v>1025</v>
      </c>
      <c r="Z546" s="4" t="s">
        <v>2910</v>
      </c>
      <c r="AA546" s="4" t="s">
        <v>2911</v>
      </c>
      <c r="AB546" s="4" t="s">
        <v>2912</v>
      </c>
      <c r="AC546" s="4" t="s">
        <v>2913</v>
      </c>
      <c r="AD546" s="4" t="s">
        <v>17</v>
      </c>
      <c r="AE546" s="4" t="s">
        <v>18</v>
      </c>
      <c r="AF546" s="4" t="s">
        <v>19</v>
      </c>
      <c r="AG546" s="4" t="s">
        <v>19</v>
      </c>
      <c r="AH546" s="4" t="s">
        <v>2912</v>
      </c>
    </row>
    <row r="547" spans="2:34" ht="15">
      <c r="B547" s="1" t="s">
        <v>1518</v>
      </c>
      <c r="C547" s="2">
        <v>43797</v>
      </c>
      <c r="D547" s="1" t="s">
        <v>21</v>
      </c>
      <c r="E547" s="1" t="s">
        <v>2914</v>
      </c>
      <c r="F547" s="1" t="s">
        <v>3</v>
      </c>
      <c r="G547" s="1" t="s">
        <v>4</v>
      </c>
      <c r="H547" s="1" t="s">
        <v>2606</v>
      </c>
      <c r="I547" s="2">
        <v>43796</v>
      </c>
      <c r="J547" s="3">
        <v>0.4744675925925926</v>
      </c>
      <c r="K547" s="2">
        <v>43798</v>
      </c>
      <c r="L547" s="1" t="s">
        <v>2256</v>
      </c>
      <c r="M547" s="1"/>
      <c r="N547" s="1" t="s">
        <v>2790</v>
      </c>
      <c r="O547" s="1" t="s">
        <v>2791</v>
      </c>
      <c r="P547" s="1" t="s">
        <v>2792</v>
      </c>
      <c r="Q547" s="1" t="s">
        <v>4</v>
      </c>
      <c r="R547" s="1" t="s">
        <v>4</v>
      </c>
      <c r="S547" s="1" t="s">
        <v>4</v>
      </c>
      <c r="T547" s="1"/>
      <c r="U547" s="1"/>
      <c r="V547" s="1"/>
      <c r="W547" s="1" t="s">
        <v>1963</v>
      </c>
      <c r="X547" s="1" t="s">
        <v>2915</v>
      </c>
      <c r="Y547" s="1" t="s">
        <v>2915</v>
      </c>
      <c r="Z547" s="1" t="s">
        <v>880</v>
      </c>
      <c r="AA547" s="1" t="s">
        <v>2916</v>
      </c>
      <c r="AB547" s="1" t="s">
        <v>2917</v>
      </c>
      <c r="AC547" s="1" t="s">
        <v>2918</v>
      </c>
      <c r="AD547" s="1" t="s">
        <v>17</v>
      </c>
      <c r="AE547" s="1" t="s">
        <v>18</v>
      </c>
      <c r="AF547" s="1" t="s">
        <v>19</v>
      </c>
      <c r="AG547" s="1" t="s">
        <v>19</v>
      </c>
      <c r="AH547" s="1" t="s">
        <v>2917</v>
      </c>
    </row>
    <row r="548" spans="2:34" ht="15">
      <c r="B548" s="4" t="s">
        <v>1518</v>
      </c>
      <c r="C548" s="5">
        <v>43798</v>
      </c>
      <c r="D548" s="4" t="s">
        <v>21</v>
      </c>
      <c r="E548" s="4" t="s">
        <v>2919</v>
      </c>
      <c r="F548" s="4" t="s">
        <v>3</v>
      </c>
      <c r="G548" s="4" t="s">
        <v>4</v>
      </c>
      <c r="H548" s="4" t="s">
        <v>325</v>
      </c>
      <c r="I548" s="5">
        <v>43798</v>
      </c>
      <c r="J548" s="6">
        <v>0.42440972222222223</v>
      </c>
      <c r="K548" s="5">
        <v>43802</v>
      </c>
      <c r="L548" s="4" t="s">
        <v>2256</v>
      </c>
      <c r="M548" s="4"/>
      <c r="N548" s="4" t="s">
        <v>2920</v>
      </c>
      <c r="O548" s="4" t="s">
        <v>2921</v>
      </c>
      <c r="P548" s="4" t="s">
        <v>2922</v>
      </c>
      <c r="Q548" s="4" t="s">
        <v>4</v>
      </c>
      <c r="R548" s="4" t="s">
        <v>4</v>
      </c>
      <c r="S548" s="4" t="s">
        <v>4</v>
      </c>
      <c r="T548" s="4"/>
      <c r="U548" s="4"/>
      <c r="V548" s="4"/>
      <c r="W548" s="4" t="s">
        <v>1963</v>
      </c>
      <c r="X548" s="4" t="s">
        <v>2923</v>
      </c>
      <c r="Y548" s="4" t="s">
        <v>2923</v>
      </c>
      <c r="Z548" s="4" t="s">
        <v>2924</v>
      </c>
      <c r="AA548" s="4" t="s">
        <v>2925</v>
      </c>
      <c r="AB548" s="4" t="s">
        <v>2926</v>
      </c>
      <c r="AC548" s="4" t="s">
        <v>2927</v>
      </c>
      <c r="AD548" s="4" t="s">
        <v>17</v>
      </c>
      <c r="AE548" s="4" t="s">
        <v>18</v>
      </c>
      <c r="AF548" s="4" t="s">
        <v>19</v>
      </c>
      <c r="AG548" s="4" t="s">
        <v>19</v>
      </c>
      <c r="AH548" s="4" t="s">
        <v>2926</v>
      </c>
    </row>
    <row r="549" spans="2:34" ht="15">
      <c r="B549" s="1" t="s">
        <v>153</v>
      </c>
      <c r="C549" s="2">
        <v>43798</v>
      </c>
      <c r="D549" s="1" t="s">
        <v>154</v>
      </c>
      <c r="E549" s="1" t="s">
        <v>2928</v>
      </c>
      <c r="F549" s="1" t="s">
        <v>3</v>
      </c>
      <c r="G549" s="1" t="s">
        <v>4</v>
      </c>
      <c r="H549" s="1" t="s">
        <v>325</v>
      </c>
      <c r="I549" s="2">
        <v>43798</v>
      </c>
      <c r="J549" s="3">
        <v>0.42440972222222223</v>
      </c>
      <c r="K549" s="2">
        <v>43802</v>
      </c>
      <c r="L549" s="1" t="s">
        <v>2256</v>
      </c>
      <c r="M549" s="1"/>
      <c r="N549" s="1" t="s">
        <v>2920</v>
      </c>
      <c r="O549" s="1" t="s">
        <v>2921</v>
      </c>
      <c r="P549" s="1" t="s">
        <v>2922</v>
      </c>
      <c r="Q549" s="1" t="s">
        <v>4</v>
      </c>
      <c r="R549" s="1" t="s">
        <v>4</v>
      </c>
      <c r="S549" s="1" t="s">
        <v>4</v>
      </c>
      <c r="T549" s="1"/>
      <c r="U549" s="1"/>
      <c r="V549" s="1"/>
      <c r="W549" s="1" t="s">
        <v>1963</v>
      </c>
      <c r="X549" s="1" t="s">
        <v>2929</v>
      </c>
      <c r="Y549" s="1" t="s">
        <v>2929</v>
      </c>
      <c r="Z549" s="1" t="s">
        <v>2924</v>
      </c>
      <c r="AA549" s="1" t="s">
        <v>2930</v>
      </c>
      <c r="AB549" s="1" t="s">
        <v>2931</v>
      </c>
      <c r="AC549" s="1" t="s">
        <v>416</v>
      </c>
      <c r="AD549" s="1" t="s">
        <v>17</v>
      </c>
      <c r="AE549" s="1" t="s">
        <v>18</v>
      </c>
      <c r="AF549" s="1" t="s">
        <v>19</v>
      </c>
      <c r="AG549" s="1" t="s">
        <v>19</v>
      </c>
      <c r="AH549" s="1" t="s">
        <v>2931</v>
      </c>
    </row>
    <row r="550" spans="2:34" ht="15">
      <c r="B550" s="4" t="s">
        <v>1518</v>
      </c>
      <c r="C550" s="5">
        <v>43798</v>
      </c>
      <c r="D550" s="4" t="s">
        <v>21</v>
      </c>
      <c r="E550" s="4" t="s">
        <v>2919</v>
      </c>
      <c r="F550" s="4" t="s">
        <v>3</v>
      </c>
      <c r="G550" s="4" t="s">
        <v>4</v>
      </c>
      <c r="H550" s="4" t="s">
        <v>2804</v>
      </c>
      <c r="I550" s="5">
        <v>43798</v>
      </c>
      <c r="J550" s="6">
        <v>0.42440972222222223</v>
      </c>
      <c r="K550" s="5">
        <v>43802</v>
      </c>
      <c r="L550" s="4" t="s">
        <v>2256</v>
      </c>
      <c r="M550" s="4"/>
      <c r="N550" s="4" t="s">
        <v>2920</v>
      </c>
      <c r="O550" s="4" t="s">
        <v>2921</v>
      </c>
      <c r="P550" s="4" t="s">
        <v>2922</v>
      </c>
      <c r="Q550" s="4" t="s">
        <v>4</v>
      </c>
      <c r="R550" s="4" t="s">
        <v>85</v>
      </c>
      <c r="S550" s="4" t="s">
        <v>4</v>
      </c>
      <c r="T550" s="4"/>
      <c r="U550" s="4"/>
      <c r="V550" s="4"/>
      <c r="W550" s="4" t="s">
        <v>1963</v>
      </c>
      <c r="X550" s="4" t="s">
        <v>2932</v>
      </c>
      <c r="Y550" s="4" t="s">
        <v>2932</v>
      </c>
      <c r="Z550" s="4" t="s">
        <v>1498</v>
      </c>
      <c r="AA550" s="4" t="s">
        <v>2933</v>
      </c>
      <c r="AB550" s="4" t="s">
        <v>2933</v>
      </c>
      <c r="AC550" s="4" t="s">
        <v>17</v>
      </c>
      <c r="AD550" s="4" t="s">
        <v>17</v>
      </c>
      <c r="AE550" s="4" t="s">
        <v>17</v>
      </c>
      <c r="AF550" s="4" t="s">
        <v>19</v>
      </c>
      <c r="AG550" s="4" t="s">
        <v>19</v>
      </c>
      <c r="AH550" s="4" t="s">
        <v>2933</v>
      </c>
    </row>
    <row r="551" spans="2:34" ht="15">
      <c r="B551" s="1" t="s">
        <v>153</v>
      </c>
      <c r="C551" s="2">
        <v>43798</v>
      </c>
      <c r="D551" s="1" t="s">
        <v>154</v>
      </c>
      <c r="E551" s="1" t="s">
        <v>2928</v>
      </c>
      <c r="F551" s="1" t="s">
        <v>3</v>
      </c>
      <c r="G551" s="1" t="s">
        <v>4</v>
      </c>
      <c r="H551" s="1" t="s">
        <v>2804</v>
      </c>
      <c r="I551" s="2">
        <v>43798</v>
      </c>
      <c r="J551" s="3">
        <v>0.42440972222222223</v>
      </c>
      <c r="K551" s="2">
        <v>43802</v>
      </c>
      <c r="L551" s="1" t="s">
        <v>2256</v>
      </c>
      <c r="M551" s="1"/>
      <c r="N551" s="1" t="s">
        <v>2920</v>
      </c>
      <c r="O551" s="1" t="s">
        <v>2921</v>
      </c>
      <c r="P551" s="1" t="s">
        <v>2922</v>
      </c>
      <c r="Q551" s="1" t="s">
        <v>4</v>
      </c>
      <c r="R551" s="1" t="s">
        <v>85</v>
      </c>
      <c r="S551" s="1" t="s">
        <v>4</v>
      </c>
      <c r="T551" s="1"/>
      <c r="U551" s="1"/>
      <c r="V551" s="1"/>
      <c r="W551" s="1" t="s">
        <v>1963</v>
      </c>
      <c r="X551" s="1" t="s">
        <v>2934</v>
      </c>
      <c r="Y551" s="1" t="s">
        <v>2934</v>
      </c>
      <c r="Z551" s="1" t="s">
        <v>1498</v>
      </c>
      <c r="AA551" s="1" t="s">
        <v>2935</v>
      </c>
      <c r="AB551" s="1" t="s">
        <v>2935</v>
      </c>
      <c r="AC551" s="1" t="s">
        <v>17</v>
      </c>
      <c r="AD551" s="1" t="s">
        <v>17</v>
      </c>
      <c r="AE551" s="1" t="s">
        <v>17</v>
      </c>
      <c r="AF551" s="1" t="s">
        <v>19</v>
      </c>
      <c r="AG551" s="1" t="s">
        <v>19</v>
      </c>
      <c r="AH551" s="1" t="s">
        <v>2935</v>
      </c>
    </row>
    <row r="552" spans="2:34" ht="15">
      <c r="B552" s="4" t="s">
        <v>2936</v>
      </c>
      <c r="C552" s="5">
        <v>43798</v>
      </c>
      <c r="D552" s="4" t="s">
        <v>1</v>
      </c>
      <c r="E552" s="4" t="s">
        <v>2937</v>
      </c>
      <c r="F552" s="4" t="s">
        <v>3</v>
      </c>
      <c r="G552" s="4" t="s">
        <v>4</v>
      </c>
      <c r="H552" s="4" t="s">
        <v>2804</v>
      </c>
      <c r="I552" s="5">
        <v>43796</v>
      </c>
      <c r="J552" s="6">
        <v>0.5133333333333333</v>
      </c>
      <c r="K552" s="5">
        <v>43798</v>
      </c>
      <c r="L552" s="4" t="s">
        <v>2256</v>
      </c>
      <c r="M552" s="4"/>
      <c r="N552" s="4" t="s">
        <v>2938</v>
      </c>
      <c r="O552" s="4" t="s">
        <v>2939</v>
      </c>
      <c r="P552" s="4" t="s">
        <v>2940</v>
      </c>
      <c r="Q552" s="4" t="s">
        <v>4</v>
      </c>
      <c r="R552" s="4" t="s">
        <v>4</v>
      </c>
      <c r="S552" s="4" t="s">
        <v>4</v>
      </c>
      <c r="T552" s="4"/>
      <c r="U552" s="4"/>
      <c r="V552" s="4"/>
      <c r="W552" s="4" t="s">
        <v>2258</v>
      </c>
      <c r="X552" s="4" t="s">
        <v>2941</v>
      </c>
      <c r="Y552" s="4" t="s">
        <v>2941</v>
      </c>
      <c r="Z552" s="4" t="s">
        <v>2942</v>
      </c>
      <c r="AA552" s="4" t="s">
        <v>2943</v>
      </c>
      <c r="AB552" s="4" t="s">
        <v>2944</v>
      </c>
      <c r="AC552" s="4" t="s">
        <v>2945</v>
      </c>
      <c r="AD552" s="4" t="s">
        <v>17</v>
      </c>
      <c r="AE552" s="4" t="s">
        <v>18</v>
      </c>
      <c r="AF552" s="4" t="s">
        <v>19</v>
      </c>
      <c r="AG552" s="4" t="s">
        <v>19</v>
      </c>
      <c r="AH552" s="4" t="s">
        <v>2944</v>
      </c>
    </row>
    <row r="553" spans="2:34" ht="15">
      <c r="B553" s="1" t="s">
        <v>1518</v>
      </c>
      <c r="C553" s="2">
        <v>43801</v>
      </c>
      <c r="D553" s="1" t="s">
        <v>21</v>
      </c>
      <c r="E553" s="1" t="s">
        <v>2919</v>
      </c>
      <c r="F553" s="1" t="s">
        <v>3</v>
      </c>
      <c r="G553" s="1" t="s">
        <v>85</v>
      </c>
      <c r="H553" s="1" t="s">
        <v>2804</v>
      </c>
      <c r="I553" s="2">
        <v>43798</v>
      </c>
      <c r="J553" s="3">
        <v>0.42440972222222223</v>
      </c>
      <c r="K553" s="2">
        <v>43802</v>
      </c>
      <c r="L553" s="1" t="s">
        <v>2256</v>
      </c>
      <c r="M553" s="1"/>
      <c r="N553" s="1" t="s">
        <v>2920</v>
      </c>
      <c r="O553" s="1" t="s">
        <v>2921</v>
      </c>
      <c r="P553" s="1" t="s">
        <v>2922</v>
      </c>
      <c r="Q553" s="1" t="s">
        <v>4</v>
      </c>
      <c r="R553" s="1" t="s">
        <v>85</v>
      </c>
      <c r="S553" s="1" t="s">
        <v>4</v>
      </c>
      <c r="T553" s="1"/>
      <c r="U553" s="1"/>
      <c r="V553" s="1"/>
      <c r="W553" s="1" t="s">
        <v>1963</v>
      </c>
      <c r="X553" s="1" t="s">
        <v>2932</v>
      </c>
      <c r="Y553" s="1" t="s">
        <v>2932</v>
      </c>
      <c r="Z553" s="1" t="s">
        <v>1498</v>
      </c>
      <c r="AA553" s="1" t="s">
        <v>2933</v>
      </c>
      <c r="AB553" s="1" t="s">
        <v>2933</v>
      </c>
      <c r="AC553" s="1" t="s">
        <v>17</v>
      </c>
      <c r="AD553" s="1" t="s">
        <v>17</v>
      </c>
      <c r="AE553" s="1" t="s">
        <v>17</v>
      </c>
      <c r="AF553" s="1" t="s">
        <v>19</v>
      </c>
      <c r="AG553" s="1" t="s">
        <v>19</v>
      </c>
      <c r="AH553" s="1" t="s">
        <v>2933</v>
      </c>
    </row>
    <row r="554" spans="2:34" ht="15">
      <c r="B554" s="4" t="s">
        <v>1518</v>
      </c>
      <c r="C554" s="5">
        <v>43801</v>
      </c>
      <c r="D554" s="4" t="s">
        <v>21</v>
      </c>
      <c r="E554" s="4" t="s">
        <v>2946</v>
      </c>
      <c r="F554" s="4" t="s">
        <v>3</v>
      </c>
      <c r="G554" s="4" t="s">
        <v>4</v>
      </c>
      <c r="H554" s="4" t="s">
        <v>2804</v>
      </c>
      <c r="I554" s="5">
        <v>43798</v>
      </c>
      <c r="J554" s="6">
        <v>0.42440972222222223</v>
      </c>
      <c r="K554" s="5">
        <v>43802</v>
      </c>
      <c r="L554" s="4" t="s">
        <v>2256</v>
      </c>
      <c r="M554" s="4"/>
      <c r="N554" s="4" t="s">
        <v>2920</v>
      </c>
      <c r="O554" s="4" t="s">
        <v>2921</v>
      </c>
      <c r="P554" s="4" t="s">
        <v>2922</v>
      </c>
      <c r="Q554" s="4" t="s">
        <v>4</v>
      </c>
      <c r="R554" s="4" t="s">
        <v>85</v>
      </c>
      <c r="S554" s="4" t="s">
        <v>85</v>
      </c>
      <c r="T554" s="4"/>
      <c r="U554" s="4"/>
      <c r="V554" s="4"/>
      <c r="W554" s="4" t="s">
        <v>1963</v>
      </c>
      <c r="X554" s="4" t="s">
        <v>2932</v>
      </c>
      <c r="Y554" s="4" t="s">
        <v>2932</v>
      </c>
      <c r="Z554" s="4" t="s">
        <v>1498</v>
      </c>
      <c r="AA554" s="4" t="s">
        <v>2933</v>
      </c>
      <c r="AB554" s="4" t="s">
        <v>2933</v>
      </c>
      <c r="AC554" s="4" t="s">
        <v>17</v>
      </c>
      <c r="AD554" s="4" t="s">
        <v>17</v>
      </c>
      <c r="AE554" s="4" t="s">
        <v>17</v>
      </c>
      <c r="AF554" s="4" t="s">
        <v>19</v>
      </c>
      <c r="AG554" s="4" t="s">
        <v>19</v>
      </c>
      <c r="AH554" s="4" t="s">
        <v>2933</v>
      </c>
    </row>
    <row r="555" spans="2:34" ht="15">
      <c r="B555" s="1" t="s">
        <v>1518</v>
      </c>
      <c r="C555" s="2">
        <v>43801</v>
      </c>
      <c r="D555" s="1" t="s">
        <v>21</v>
      </c>
      <c r="E555" s="1" t="s">
        <v>2947</v>
      </c>
      <c r="F555" s="1" t="s">
        <v>3</v>
      </c>
      <c r="G555" s="1" t="s">
        <v>4</v>
      </c>
      <c r="H555" s="1" t="s">
        <v>325</v>
      </c>
      <c r="I555" s="2">
        <v>43798</v>
      </c>
      <c r="J555" s="3">
        <v>0.5354166666666667</v>
      </c>
      <c r="K555" s="2">
        <v>43802</v>
      </c>
      <c r="L555" s="1" t="s">
        <v>2256</v>
      </c>
      <c r="M555" s="1"/>
      <c r="N555" s="1" t="s">
        <v>2920</v>
      </c>
      <c r="O555" s="1" t="s">
        <v>2921</v>
      </c>
      <c r="P555" s="1" t="s">
        <v>2922</v>
      </c>
      <c r="Q555" s="1" t="s">
        <v>4</v>
      </c>
      <c r="R555" s="1" t="s">
        <v>4</v>
      </c>
      <c r="S555" s="1" t="s">
        <v>10</v>
      </c>
      <c r="T555" s="1"/>
      <c r="U555" s="1"/>
      <c r="V555" s="1"/>
      <c r="W555" s="1" t="s">
        <v>1963</v>
      </c>
      <c r="X555" s="1" t="s">
        <v>2948</v>
      </c>
      <c r="Y555" s="1" t="s">
        <v>2948</v>
      </c>
      <c r="Z555" s="1" t="s">
        <v>2949</v>
      </c>
      <c r="AA555" s="1" t="s">
        <v>2950</v>
      </c>
      <c r="AB555" s="1" t="s">
        <v>2951</v>
      </c>
      <c r="AC555" s="1" t="s">
        <v>2952</v>
      </c>
      <c r="AD555" s="1" t="s">
        <v>17</v>
      </c>
      <c r="AE555" s="1" t="s">
        <v>18</v>
      </c>
      <c r="AF555" s="1" t="s">
        <v>19</v>
      </c>
      <c r="AG555" s="1" t="s">
        <v>19</v>
      </c>
      <c r="AH555" s="1" t="s">
        <v>2951</v>
      </c>
    </row>
    <row r="556" spans="2:34" ht="15">
      <c r="B556" s="4" t="s">
        <v>1518</v>
      </c>
      <c r="C556" s="5">
        <v>43801</v>
      </c>
      <c r="D556" s="4" t="s">
        <v>21</v>
      </c>
      <c r="E556" s="4" t="s">
        <v>2953</v>
      </c>
      <c r="F556" s="4" t="s">
        <v>3</v>
      </c>
      <c r="G556" s="4" t="s">
        <v>4</v>
      </c>
      <c r="H556" s="4" t="s">
        <v>23</v>
      </c>
      <c r="I556" s="5">
        <v>43798</v>
      </c>
      <c r="J556" s="6">
        <v>0.6909722222222222</v>
      </c>
      <c r="K556" s="5">
        <v>43802</v>
      </c>
      <c r="L556" s="4" t="s">
        <v>2256</v>
      </c>
      <c r="M556" s="4"/>
      <c r="N556" s="4" t="s">
        <v>661</v>
      </c>
      <c r="O556" s="4" t="s">
        <v>621</v>
      </c>
      <c r="P556" s="4" t="s">
        <v>2954</v>
      </c>
      <c r="Q556" s="4" t="s">
        <v>4</v>
      </c>
      <c r="R556" s="4" t="s">
        <v>4</v>
      </c>
      <c r="S556" s="4" t="s">
        <v>10</v>
      </c>
      <c r="T556" s="4"/>
      <c r="U556" s="4"/>
      <c r="V556" s="4"/>
      <c r="W556" s="4" t="s">
        <v>1963</v>
      </c>
      <c r="X556" s="4" t="s">
        <v>1025</v>
      </c>
      <c r="Y556" s="4" t="s">
        <v>1025</v>
      </c>
      <c r="Z556" s="4" t="s">
        <v>2955</v>
      </c>
      <c r="AA556" s="4" t="s">
        <v>2956</v>
      </c>
      <c r="AB556" s="4" t="s">
        <v>2957</v>
      </c>
      <c r="AC556" s="4" t="s">
        <v>2958</v>
      </c>
      <c r="AD556" s="4" t="s">
        <v>17</v>
      </c>
      <c r="AE556" s="4" t="s">
        <v>18</v>
      </c>
      <c r="AF556" s="4" t="s">
        <v>19</v>
      </c>
      <c r="AG556" s="4" t="s">
        <v>19</v>
      </c>
      <c r="AH556" s="4" t="s">
        <v>2957</v>
      </c>
    </row>
    <row r="557" spans="2:34" ht="15">
      <c r="B557" s="1" t="s">
        <v>1524</v>
      </c>
      <c r="C557" s="2">
        <v>43801</v>
      </c>
      <c r="D557" s="1" t="s">
        <v>1</v>
      </c>
      <c r="E557" s="1" t="s">
        <v>2959</v>
      </c>
      <c r="F557" s="1" t="s">
        <v>3</v>
      </c>
      <c r="G557" s="1" t="s">
        <v>4</v>
      </c>
      <c r="H557" s="1" t="s">
        <v>119</v>
      </c>
      <c r="I557" s="2">
        <v>43798</v>
      </c>
      <c r="J557" s="3">
        <v>0.5854861111111112</v>
      </c>
      <c r="K557" s="2">
        <v>43802</v>
      </c>
      <c r="L557" s="1" t="s">
        <v>2256</v>
      </c>
      <c r="M557" s="1"/>
      <c r="N557" s="1" t="s">
        <v>214</v>
      </c>
      <c r="O557" s="1" t="s">
        <v>215</v>
      </c>
      <c r="P557" s="1" t="s">
        <v>2960</v>
      </c>
      <c r="Q557" s="1" t="s">
        <v>4</v>
      </c>
      <c r="R557" s="1" t="s">
        <v>4</v>
      </c>
      <c r="S557" s="1" t="s">
        <v>10</v>
      </c>
      <c r="T557" s="1"/>
      <c r="U557" s="1"/>
      <c r="V557" s="1"/>
      <c r="W557" s="1" t="s">
        <v>1963</v>
      </c>
      <c r="X557" s="1" t="s">
        <v>2961</v>
      </c>
      <c r="Y557" s="1" t="s">
        <v>2961</v>
      </c>
      <c r="Z557" s="1" t="s">
        <v>2962</v>
      </c>
      <c r="AA557" s="1" t="s">
        <v>2963</v>
      </c>
      <c r="AB557" s="1" t="s">
        <v>2964</v>
      </c>
      <c r="AC557" s="1" t="s">
        <v>2965</v>
      </c>
      <c r="AD557" s="1" t="s">
        <v>17</v>
      </c>
      <c r="AE557" s="1" t="s">
        <v>2966</v>
      </c>
      <c r="AF557" s="1" t="s">
        <v>19</v>
      </c>
      <c r="AG557" s="1" t="s">
        <v>19</v>
      </c>
      <c r="AH557" s="1" t="s">
        <v>2964</v>
      </c>
    </row>
    <row r="558" spans="2:34" ht="15">
      <c r="B558" s="4" t="s">
        <v>1524</v>
      </c>
      <c r="C558" s="5">
        <v>43801</v>
      </c>
      <c r="D558" s="4" t="s">
        <v>1</v>
      </c>
      <c r="E558" s="4" t="s">
        <v>2967</v>
      </c>
      <c r="F558" s="4" t="s">
        <v>3</v>
      </c>
      <c r="G558" s="4" t="s">
        <v>4</v>
      </c>
      <c r="H558" s="4" t="s">
        <v>119</v>
      </c>
      <c r="I558" s="5">
        <v>43798</v>
      </c>
      <c r="J558" s="6">
        <v>0.5851157407407407</v>
      </c>
      <c r="K558" s="5">
        <v>43802</v>
      </c>
      <c r="L558" s="4" t="s">
        <v>2256</v>
      </c>
      <c r="M558" s="4"/>
      <c r="N558" s="4" t="s">
        <v>214</v>
      </c>
      <c r="O558" s="4" t="s">
        <v>215</v>
      </c>
      <c r="P558" s="4" t="s">
        <v>2960</v>
      </c>
      <c r="Q558" s="4" t="s">
        <v>4</v>
      </c>
      <c r="R558" s="4" t="s">
        <v>4</v>
      </c>
      <c r="S558" s="4" t="s">
        <v>10</v>
      </c>
      <c r="T558" s="4"/>
      <c r="U558" s="4"/>
      <c r="V558" s="4"/>
      <c r="W558" s="4" t="s">
        <v>1963</v>
      </c>
      <c r="X558" s="4" t="s">
        <v>2968</v>
      </c>
      <c r="Y558" s="4" t="s">
        <v>2968</v>
      </c>
      <c r="Z558" s="4" t="s">
        <v>2495</v>
      </c>
      <c r="AA558" s="4" t="s">
        <v>2969</v>
      </c>
      <c r="AB558" s="4" t="s">
        <v>2970</v>
      </c>
      <c r="AC558" s="4" t="s">
        <v>2971</v>
      </c>
      <c r="AD558" s="4" t="s">
        <v>17</v>
      </c>
      <c r="AE558" s="4" t="s">
        <v>2972</v>
      </c>
      <c r="AF558" s="4" t="s">
        <v>19</v>
      </c>
      <c r="AG558" s="4" t="s">
        <v>19</v>
      </c>
      <c r="AH558" s="4" t="s">
        <v>2970</v>
      </c>
    </row>
    <row r="559" spans="2:34" ht="15">
      <c r="B559" s="1" t="s">
        <v>153</v>
      </c>
      <c r="C559" s="2">
        <v>43801</v>
      </c>
      <c r="D559" s="1" t="s">
        <v>154</v>
      </c>
      <c r="E559" s="1" t="s">
        <v>2928</v>
      </c>
      <c r="F559" s="1" t="s">
        <v>3</v>
      </c>
      <c r="G559" s="1" t="s">
        <v>85</v>
      </c>
      <c r="H559" s="1" t="s">
        <v>2804</v>
      </c>
      <c r="I559" s="2">
        <v>43798</v>
      </c>
      <c r="J559" s="3">
        <v>0.42440972222222223</v>
      </c>
      <c r="K559" s="2">
        <v>43802</v>
      </c>
      <c r="L559" s="1" t="s">
        <v>2256</v>
      </c>
      <c r="M559" s="1"/>
      <c r="N559" s="1" t="s">
        <v>2920</v>
      </c>
      <c r="O559" s="1" t="s">
        <v>2921</v>
      </c>
      <c r="P559" s="1" t="s">
        <v>2922</v>
      </c>
      <c r="Q559" s="1" t="s">
        <v>4</v>
      </c>
      <c r="R559" s="1" t="s">
        <v>85</v>
      </c>
      <c r="S559" s="1" t="s">
        <v>4</v>
      </c>
      <c r="T559" s="1"/>
      <c r="U559" s="1"/>
      <c r="V559" s="1"/>
      <c r="W559" s="1" t="s">
        <v>1963</v>
      </c>
      <c r="X559" s="1" t="s">
        <v>2934</v>
      </c>
      <c r="Y559" s="1" t="s">
        <v>2934</v>
      </c>
      <c r="Z559" s="1" t="s">
        <v>1498</v>
      </c>
      <c r="AA559" s="1" t="s">
        <v>2935</v>
      </c>
      <c r="AB559" s="1" t="s">
        <v>2935</v>
      </c>
      <c r="AC559" s="1" t="s">
        <v>17</v>
      </c>
      <c r="AD559" s="1" t="s">
        <v>17</v>
      </c>
      <c r="AE559" s="1" t="s">
        <v>17</v>
      </c>
      <c r="AF559" s="1" t="s">
        <v>19</v>
      </c>
      <c r="AG559" s="1" t="s">
        <v>19</v>
      </c>
      <c r="AH559" s="1" t="s">
        <v>2935</v>
      </c>
    </row>
    <row r="560" spans="2:34" ht="15">
      <c r="B560" s="4" t="s">
        <v>153</v>
      </c>
      <c r="C560" s="5">
        <v>43801</v>
      </c>
      <c r="D560" s="4" t="s">
        <v>154</v>
      </c>
      <c r="E560" s="4" t="s">
        <v>2973</v>
      </c>
      <c r="F560" s="4" t="s">
        <v>3</v>
      </c>
      <c r="G560" s="4" t="s">
        <v>4</v>
      </c>
      <c r="H560" s="4" t="s">
        <v>2804</v>
      </c>
      <c r="I560" s="5">
        <v>43798</v>
      </c>
      <c r="J560" s="6">
        <v>0.42440972222222223</v>
      </c>
      <c r="K560" s="5">
        <v>43802</v>
      </c>
      <c r="L560" s="4" t="s">
        <v>2256</v>
      </c>
      <c r="M560" s="4"/>
      <c r="N560" s="4" t="s">
        <v>2920</v>
      </c>
      <c r="O560" s="4" t="s">
        <v>2921</v>
      </c>
      <c r="P560" s="4" t="s">
        <v>2922</v>
      </c>
      <c r="Q560" s="4" t="s">
        <v>4</v>
      </c>
      <c r="R560" s="4" t="s">
        <v>85</v>
      </c>
      <c r="S560" s="4" t="s">
        <v>85</v>
      </c>
      <c r="T560" s="4"/>
      <c r="U560" s="4"/>
      <c r="V560" s="4"/>
      <c r="W560" s="4" t="s">
        <v>1963</v>
      </c>
      <c r="X560" s="4" t="s">
        <v>2934</v>
      </c>
      <c r="Y560" s="4" t="s">
        <v>2934</v>
      </c>
      <c r="Z560" s="4" t="s">
        <v>1498</v>
      </c>
      <c r="AA560" s="4" t="s">
        <v>2935</v>
      </c>
      <c r="AB560" s="4" t="s">
        <v>2935</v>
      </c>
      <c r="AC560" s="4" t="s">
        <v>17</v>
      </c>
      <c r="AD560" s="4" t="s">
        <v>17</v>
      </c>
      <c r="AE560" s="4" t="s">
        <v>17</v>
      </c>
      <c r="AF560" s="4" t="s">
        <v>19</v>
      </c>
      <c r="AG560" s="4" t="s">
        <v>19</v>
      </c>
      <c r="AH560" s="4" t="s">
        <v>2935</v>
      </c>
    </row>
    <row r="561" spans="2:34" ht="15">
      <c r="B561" s="1" t="s">
        <v>153</v>
      </c>
      <c r="C561" s="2">
        <v>43801</v>
      </c>
      <c r="D561" s="1" t="s">
        <v>154</v>
      </c>
      <c r="E561" s="1" t="s">
        <v>2974</v>
      </c>
      <c r="F561" s="1" t="s">
        <v>3</v>
      </c>
      <c r="G561" s="1" t="s">
        <v>4</v>
      </c>
      <c r="H561" s="1" t="s">
        <v>325</v>
      </c>
      <c r="I561" s="2">
        <v>43798</v>
      </c>
      <c r="J561" s="3">
        <v>0.5354166666666667</v>
      </c>
      <c r="K561" s="2">
        <v>43802</v>
      </c>
      <c r="L561" s="1" t="s">
        <v>2256</v>
      </c>
      <c r="M561" s="1"/>
      <c r="N561" s="1" t="s">
        <v>2920</v>
      </c>
      <c r="O561" s="1" t="s">
        <v>2921</v>
      </c>
      <c r="P561" s="1" t="s">
        <v>2922</v>
      </c>
      <c r="Q561" s="1" t="s">
        <v>4</v>
      </c>
      <c r="R561" s="1" t="s">
        <v>4</v>
      </c>
      <c r="S561" s="1" t="s">
        <v>10</v>
      </c>
      <c r="T561" s="1"/>
      <c r="U561" s="1"/>
      <c r="V561" s="1"/>
      <c r="W561" s="1" t="s">
        <v>1963</v>
      </c>
      <c r="X561" s="1" t="s">
        <v>2975</v>
      </c>
      <c r="Y561" s="1" t="s">
        <v>2975</v>
      </c>
      <c r="Z561" s="1" t="s">
        <v>2949</v>
      </c>
      <c r="AA561" s="1" t="s">
        <v>2976</v>
      </c>
      <c r="AB561" s="1" t="s">
        <v>2977</v>
      </c>
      <c r="AC561" s="1" t="s">
        <v>2978</v>
      </c>
      <c r="AD561" s="1" t="s">
        <v>17</v>
      </c>
      <c r="AE561" s="1" t="s">
        <v>18</v>
      </c>
      <c r="AF561" s="1" t="s">
        <v>19</v>
      </c>
      <c r="AG561" s="1" t="s">
        <v>19</v>
      </c>
      <c r="AH561" s="1" t="s">
        <v>2977</v>
      </c>
    </row>
    <row r="562" spans="2:34" ht="15">
      <c r="B562" s="4" t="s">
        <v>153</v>
      </c>
      <c r="C562" s="5">
        <v>43801</v>
      </c>
      <c r="D562" s="4" t="s">
        <v>154</v>
      </c>
      <c r="E562" s="4" t="s">
        <v>2979</v>
      </c>
      <c r="F562" s="4" t="s">
        <v>3</v>
      </c>
      <c r="G562" s="4" t="s">
        <v>4</v>
      </c>
      <c r="H562" s="4" t="s">
        <v>119</v>
      </c>
      <c r="I562" s="5">
        <v>43798</v>
      </c>
      <c r="J562" s="6">
        <v>0.5854861111111112</v>
      </c>
      <c r="K562" s="5">
        <v>43802</v>
      </c>
      <c r="L562" s="4" t="s">
        <v>2256</v>
      </c>
      <c r="M562" s="4"/>
      <c r="N562" s="4" t="s">
        <v>214</v>
      </c>
      <c r="O562" s="4" t="s">
        <v>215</v>
      </c>
      <c r="P562" s="4" t="s">
        <v>2960</v>
      </c>
      <c r="Q562" s="4" t="s">
        <v>4</v>
      </c>
      <c r="R562" s="4" t="s">
        <v>4</v>
      </c>
      <c r="S562" s="4" t="s">
        <v>10</v>
      </c>
      <c r="T562" s="4"/>
      <c r="U562" s="4"/>
      <c r="V562" s="4"/>
      <c r="W562" s="4" t="s">
        <v>1963</v>
      </c>
      <c r="X562" s="4" t="s">
        <v>2968</v>
      </c>
      <c r="Y562" s="4" t="s">
        <v>2968</v>
      </c>
      <c r="Z562" s="4" t="s">
        <v>2962</v>
      </c>
      <c r="AA562" s="4" t="s">
        <v>2980</v>
      </c>
      <c r="AB562" s="4" t="s">
        <v>2981</v>
      </c>
      <c r="AC562" s="4" t="s">
        <v>2982</v>
      </c>
      <c r="AD562" s="4" t="s">
        <v>17</v>
      </c>
      <c r="AE562" s="4" t="s">
        <v>2983</v>
      </c>
      <c r="AF562" s="4" t="s">
        <v>19</v>
      </c>
      <c r="AG562" s="4" t="s">
        <v>19</v>
      </c>
      <c r="AH562" s="4" t="s">
        <v>2981</v>
      </c>
    </row>
    <row r="563" spans="2:34" ht="15">
      <c r="B563" s="11" t="s">
        <v>153</v>
      </c>
      <c r="C563" s="12">
        <v>43801</v>
      </c>
      <c r="D563" s="11" t="s">
        <v>154</v>
      </c>
      <c r="E563" s="11" t="s">
        <v>2984</v>
      </c>
      <c r="F563" s="11" t="s">
        <v>3</v>
      </c>
      <c r="G563" s="11" t="s">
        <v>4</v>
      </c>
      <c r="H563" s="11" t="s">
        <v>119</v>
      </c>
      <c r="I563" s="12">
        <v>43798</v>
      </c>
      <c r="J563" s="13">
        <v>0.5851157407407407</v>
      </c>
      <c r="K563" s="12">
        <v>43802</v>
      </c>
      <c r="L563" s="11" t="s">
        <v>2256</v>
      </c>
      <c r="M563" s="11"/>
      <c r="N563" s="11" t="s">
        <v>214</v>
      </c>
      <c r="O563" s="11" t="s">
        <v>215</v>
      </c>
      <c r="P563" s="11" t="s">
        <v>2960</v>
      </c>
      <c r="Q563" s="11" t="s">
        <v>4</v>
      </c>
      <c r="R563" s="11" t="s">
        <v>4</v>
      </c>
      <c r="S563" s="11" t="s">
        <v>10</v>
      </c>
      <c r="T563" s="11"/>
      <c r="U563" s="11"/>
      <c r="V563" s="11"/>
      <c r="W563" s="11" t="s">
        <v>1963</v>
      </c>
      <c r="X563" s="11" t="s">
        <v>2985</v>
      </c>
      <c r="Y563" s="11" t="s">
        <v>2985</v>
      </c>
      <c r="Z563" s="11" t="s">
        <v>2495</v>
      </c>
      <c r="AA563" s="11" t="s">
        <v>2986</v>
      </c>
      <c r="AB563" s="11" t="s">
        <v>2987</v>
      </c>
      <c r="AC563" s="11" t="s">
        <v>2988</v>
      </c>
      <c r="AD563" s="11" t="s">
        <v>17</v>
      </c>
      <c r="AE563" s="11" t="s">
        <v>2989</v>
      </c>
      <c r="AF563" s="11" t="s">
        <v>19</v>
      </c>
      <c r="AG563" s="11" t="s">
        <v>19</v>
      </c>
      <c r="AH563" s="11" t="s">
        <v>2987</v>
      </c>
    </row>
    <row r="564" spans="2:34" ht="15">
      <c r="B564" s="1" t="s">
        <v>1518</v>
      </c>
      <c r="C564" s="2">
        <v>43801</v>
      </c>
      <c r="D564" s="1" t="s">
        <v>21</v>
      </c>
      <c r="E564" s="1" t="s">
        <v>2919</v>
      </c>
      <c r="F564" s="1" t="s">
        <v>3</v>
      </c>
      <c r="G564" s="1" t="s">
        <v>85</v>
      </c>
      <c r="H564" s="1" t="s">
        <v>2804</v>
      </c>
      <c r="I564" s="2">
        <v>43798</v>
      </c>
      <c r="J564" s="3">
        <v>0.42440972222222223</v>
      </c>
      <c r="K564" s="2">
        <v>43802</v>
      </c>
      <c r="L564" s="1" t="s">
        <v>2256</v>
      </c>
      <c r="M564" s="1"/>
      <c r="N564" s="1" t="s">
        <v>2920</v>
      </c>
      <c r="O564" s="1" t="s">
        <v>2921</v>
      </c>
      <c r="P564" s="1" t="s">
        <v>2922</v>
      </c>
      <c r="Q564" s="1" t="s">
        <v>4</v>
      </c>
      <c r="R564" s="1" t="s">
        <v>85</v>
      </c>
      <c r="S564" s="1" t="s">
        <v>4</v>
      </c>
      <c r="T564" s="1"/>
      <c r="U564" s="1"/>
      <c r="V564" s="1"/>
      <c r="W564" s="1" t="s">
        <v>1963</v>
      </c>
      <c r="X564" s="1" t="s">
        <v>2932</v>
      </c>
      <c r="Y564" s="1" t="s">
        <v>2932</v>
      </c>
      <c r="Z564" s="1" t="s">
        <v>1498</v>
      </c>
      <c r="AA564" s="1" t="s">
        <v>2933</v>
      </c>
      <c r="AB564" s="1" t="s">
        <v>2933</v>
      </c>
      <c r="AC564" s="1" t="s">
        <v>17</v>
      </c>
      <c r="AD564" s="1" t="s">
        <v>17</v>
      </c>
      <c r="AE564" s="1" t="s">
        <v>17</v>
      </c>
      <c r="AF564" s="1" t="s">
        <v>19</v>
      </c>
      <c r="AG564" s="1" t="s">
        <v>19</v>
      </c>
      <c r="AH564" s="1" t="s">
        <v>2933</v>
      </c>
    </row>
    <row r="565" spans="2:34" ht="15">
      <c r="B565" s="4" t="s">
        <v>1518</v>
      </c>
      <c r="C565" s="5">
        <v>43801</v>
      </c>
      <c r="D565" s="4" t="s">
        <v>21</v>
      </c>
      <c r="E565" s="4" t="s">
        <v>2946</v>
      </c>
      <c r="F565" s="4" t="s">
        <v>3</v>
      </c>
      <c r="G565" s="4" t="s">
        <v>4</v>
      </c>
      <c r="H565" s="4" t="s">
        <v>2804</v>
      </c>
      <c r="I565" s="5">
        <v>43798</v>
      </c>
      <c r="J565" s="6">
        <v>0.42440972222222223</v>
      </c>
      <c r="K565" s="5">
        <v>43802</v>
      </c>
      <c r="L565" s="4" t="s">
        <v>2256</v>
      </c>
      <c r="M565" s="4"/>
      <c r="N565" s="4" t="s">
        <v>2920</v>
      </c>
      <c r="O565" s="4" t="s">
        <v>2921</v>
      </c>
      <c r="P565" s="4" t="s">
        <v>2922</v>
      </c>
      <c r="Q565" s="4" t="s">
        <v>4</v>
      </c>
      <c r="R565" s="4" t="s">
        <v>85</v>
      </c>
      <c r="S565" s="4" t="s">
        <v>85</v>
      </c>
      <c r="T565" s="4"/>
      <c r="U565" s="4"/>
      <c r="V565" s="4"/>
      <c r="W565" s="4" t="s">
        <v>1963</v>
      </c>
      <c r="X565" s="4" t="s">
        <v>2932</v>
      </c>
      <c r="Y565" s="4" t="s">
        <v>2932</v>
      </c>
      <c r="Z565" s="4" t="s">
        <v>1498</v>
      </c>
      <c r="AA565" s="4" t="s">
        <v>2933</v>
      </c>
      <c r="AB565" s="4" t="s">
        <v>2933</v>
      </c>
      <c r="AC565" s="4" t="s">
        <v>17</v>
      </c>
      <c r="AD565" s="4" t="s">
        <v>17</v>
      </c>
      <c r="AE565" s="4" t="s">
        <v>17</v>
      </c>
      <c r="AF565" s="4" t="s">
        <v>19</v>
      </c>
      <c r="AG565" s="4" t="s">
        <v>19</v>
      </c>
      <c r="AH565" s="4" t="s">
        <v>2933</v>
      </c>
    </row>
    <row r="566" spans="2:34" ht="15">
      <c r="B566" s="1" t="s">
        <v>1518</v>
      </c>
      <c r="C566" s="2">
        <v>43801</v>
      </c>
      <c r="D566" s="1" t="s">
        <v>21</v>
      </c>
      <c r="E566" s="1" t="s">
        <v>2947</v>
      </c>
      <c r="F566" s="1" t="s">
        <v>3</v>
      </c>
      <c r="G566" s="1" t="s">
        <v>4</v>
      </c>
      <c r="H566" s="1" t="s">
        <v>325</v>
      </c>
      <c r="I566" s="2">
        <v>43798</v>
      </c>
      <c r="J566" s="3">
        <v>0.5354166666666667</v>
      </c>
      <c r="K566" s="2">
        <v>43802</v>
      </c>
      <c r="L566" s="1" t="s">
        <v>2256</v>
      </c>
      <c r="M566" s="1"/>
      <c r="N566" s="1" t="s">
        <v>2920</v>
      </c>
      <c r="O566" s="1" t="s">
        <v>2921</v>
      </c>
      <c r="P566" s="1" t="s">
        <v>2922</v>
      </c>
      <c r="Q566" s="1" t="s">
        <v>4</v>
      </c>
      <c r="R566" s="1" t="s">
        <v>4</v>
      </c>
      <c r="S566" s="1" t="s">
        <v>10</v>
      </c>
      <c r="T566" s="1"/>
      <c r="U566" s="1"/>
      <c r="V566" s="1"/>
      <c r="W566" s="1" t="s">
        <v>1963</v>
      </c>
      <c r="X566" s="1" t="s">
        <v>2948</v>
      </c>
      <c r="Y566" s="1" t="s">
        <v>2948</v>
      </c>
      <c r="Z566" s="1" t="s">
        <v>2949</v>
      </c>
      <c r="AA566" s="1" t="s">
        <v>2950</v>
      </c>
      <c r="AB566" s="1" t="s">
        <v>2951</v>
      </c>
      <c r="AC566" s="1" t="s">
        <v>2952</v>
      </c>
      <c r="AD566" s="1" t="s">
        <v>17</v>
      </c>
      <c r="AE566" s="1" t="s">
        <v>18</v>
      </c>
      <c r="AF566" s="1" t="s">
        <v>19</v>
      </c>
      <c r="AG566" s="1" t="s">
        <v>19</v>
      </c>
      <c r="AH566" s="1" t="s">
        <v>2951</v>
      </c>
    </row>
    <row r="567" spans="2:34" ht="15">
      <c r="B567" s="4" t="s">
        <v>1518</v>
      </c>
      <c r="C567" s="5">
        <v>43801</v>
      </c>
      <c r="D567" s="4" t="s">
        <v>21</v>
      </c>
      <c r="E567" s="4" t="s">
        <v>2953</v>
      </c>
      <c r="F567" s="4" t="s">
        <v>3</v>
      </c>
      <c r="G567" s="4" t="s">
        <v>4</v>
      </c>
      <c r="H567" s="4" t="s">
        <v>23</v>
      </c>
      <c r="I567" s="5">
        <v>43798</v>
      </c>
      <c r="J567" s="6">
        <v>0.6909722222222222</v>
      </c>
      <c r="K567" s="5">
        <v>43802</v>
      </c>
      <c r="L567" s="4" t="s">
        <v>2256</v>
      </c>
      <c r="M567" s="4"/>
      <c r="N567" s="4" t="s">
        <v>661</v>
      </c>
      <c r="O567" s="4" t="s">
        <v>621</v>
      </c>
      <c r="P567" s="4" t="s">
        <v>2954</v>
      </c>
      <c r="Q567" s="4" t="s">
        <v>4</v>
      </c>
      <c r="R567" s="4" t="s">
        <v>4</v>
      </c>
      <c r="S567" s="4" t="s">
        <v>10</v>
      </c>
      <c r="T567" s="4"/>
      <c r="U567" s="4"/>
      <c r="V567" s="4"/>
      <c r="W567" s="4" t="s">
        <v>1963</v>
      </c>
      <c r="X567" s="4" t="s">
        <v>1025</v>
      </c>
      <c r="Y567" s="4" t="s">
        <v>1025</v>
      </c>
      <c r="Z567" s="4" t="s">
        <v>2955</v>
      </c>
      <c r="AA567" s="4" t="s">
        <v>2956</v>
      </c>
      <c r="AB567" s="4" t="s">
        <v>2957</v>
      </c>
      <c r="AC567" s="4" t="s">
        <v>2958</v>
      </c>
      <c r="AD567" s="4" t="s">
        <v>17</v>
      </c>
      <c r="AE567" s="4" t="s">
        <v>18</v>
      </c>
      <c r="AF567" s="4" t="s">
        <v>19</v>
      </c>
      <c r="AG567" s="4" t="s">
        <v>19</v>
      </c>
      <c r="AH567" s="4" t="s">
        <v>2957</v>
      </c>
    </row>
    <row r="568" spans="2:34" ht="15">
      <c r="B568" s="1" t="s">
        <v>1524</v>
      </c>
      <c r="C568" s="2">
        <v>43801</v>
      </c>
      <c r="D568" s="1" t="s">
        <v>1</v>
      </c>
      <c r="E568" s="1" t="s">
        <v>2959</v>
      </c>
      <c r="F568" s="1" t="s">
        <v>3</v>
      </c>
      <c r="G568" s="1" t="s">
        <v>4</v>
      </c>
      <c r="H568" s="1" t="s">
        <v>119</v>
      </c>
      <c r="I568" s="2">
        <v>43798</v>
      </c>
      <c r="J568" s="3">
        <v>0.5854861111111112</v>
      </c>
      <c r="K568" s="2">
        <v>43802</v>
      </c>
      <c r="L568" s="1" t="s">
        <v>2256</v>
      </c>
      <c r="M568" s="1"/>
      <c r="N568" s="1" t="s">
        <v>214</v>
      </c>
      <c r="O568" s="1" t="s">
        <v>215</v>
      </c>
      <c r="P568" s="1" t="s">
        <v>2960</v>
      </c>
      <c r="Q568" s="1" t="s">
        <v>4</v>
      </c>
      <c r="R568" s="1" t="s">
        <v>4</v>
      </c>
      <c r="S568" s="1" t="s">
        <v>10</v>
      </c>
      <c r="T568" s="1"/>
      <c r="U568" s="1"/>
      <c r="V568" s="1"/>
      <c r="W568" s="1" t="s">
        <v>1963</v>
      </c>
      <c r="X568" s="1" t="s">
        <v>2961</v>
      </c>
      <c r="Y568" s="1" t="s">
        <v>2961</v>
      </c>
      <c r="Z568" s="1" t="s">
        <v>2962</v>
      </c>
      <c r="AA568" s="1" t="s">
        <v>2963</v>
      </c>
      <c r="AB568" s="1" t="s">
        <v>2964</v>
      </c>
      <c r="AC568" s="1" t="s">
        <v>2965</v>
      </c>
      <c r="AD568" s="1" t="s">
        <v>17</v>
      </c>
      <c r="AE568" s="1" t="s">
        <v>2966</v>
      </c>
      <c r="AF568" s="1" t="s">
        <v>19</v>
      </c>
      <c r="AG568" s="1" t="s">
        <v>19</v>
      </c>
      <c r="AH568" s="1" t="s">
        <v>2964</v>
      </c>
    </row>
    <row r="569" spans="2:34" ht="15">
      <c r="B569" s="4" t="s">
        <v>1524</v>
      </c>
      <c r="C569" s="5">
        <v>43801</v>
      </c>
      <c r="D569" s="4" t="s">
        <v>1</v>
      </c>
      <c r="E569" s="4" t="s">
        <v>2967</v>
      </c>
      <c r="F569" s="4" t="s">
        <v>3</v>
      </c>
      <c r="G569" s="4" t="s">
        <v>4</v>
      </c>
      <c r="H569" s="4" t="s">
        <v>119</v>
      </c>
      <c r="I569" s="5">
        <v>43798</v>
      </c>
      <c r="J569" s="6">
        <v>0.5851157407407407</v>
      </c>
      <c r="K569" s="5">
        <v>43802</v>
      </c>
      <c r="L569" s="4" t="s">
        <v>2256</v>
      </c>
      <c r="M569" s="4"/>
      <c r="N569" s="4" t="s">
        <v>214</v>
      </c>
      <c r="O569" s="4" t="s">
        <v>215</v>
      </c>
      <c r="P569" s="4" t="s">
        <v>2960</v>
      </c>
      <c r="Q569" s="4" t="s">
        <v>4</v>
      </c>
      <c r="R569" s="4" t="s">
        <v>4</v>
      </c>
      <c r="S569" s="4" t="s">
        <v>10</v>
      </c>
      <c r="T569" s="4"/>
      <c r="U569" s="4"/>
      <c r="V569" s="4"/>
      <c r="W569" s="4" t="s">
        <v>1963</v>
      </c>
      <c r="X569" s="4" t="s">
        <v>2968</v>
      </c>
      <c r="Y569" s="4" t="s">
        <v>2968</v>
      </c>
      <c r="Z569" s="4" t="s">
        <v>2495</v>
      </c>
      <c r="AA569" s="4" t="s">
        <v>2969</v>
      </c>
      <c r="AB569" s="4" t="s">
        <v>2970</v>
      </c>
      <c r="AC569" s="4" t="s">
        <v>2971</v>
      </c>
      <c r="AD569" s="4" t="s">
        <v>17</v>
      </c>
      <c r="AE569" s="4" t="s">
        <v>2972</v>
      </c>
      <c r="AF569" s="4" t="s">
        <v>19</v>
      </c>
      <c r="AG569" s="4" t="s">
        <v>19</v>
      </c>
      <c r="AH569" s="4" t="s">
        <v>2970</v>
      </c>
    </row>
    <row r="570" spans="2:34" ht="15">
      <c r="B570" s="1" t="s">
        <v>153</v>
      </c>
      <c r="C570" s="2">
        <v>43801</v>
      </c>
      <c r="D570" s="1" t="s">
        <v>154</v>
      </c>
      <c r="E570" s="1" t="s">
        <v>2928</v>
      </c>
      <c r="F570" s="1" t="s">
        <v>3</v>
      </c>
      <c r="G570" s="1" t="s">
        <v>85</v>
      </c>
      <c r="H570" s="1" t="s">
        <v>2804</v>
      </c>
      <c r="I570" s="2">
        <v>43798</v>
      </c>
      <c r="J570" s="3">
        <v>0.42440972222222223</v>
      </c>
      <c r="K570" s="2">
        <v>43802</v>
      </c>
      <c r="L570" s="1" t="s">
        <v>2256</v>
      </c>
      <c r="M570" s="1"/>
      <c r="N570" s="1" t="s">
        <v>2920</v>
      </c>
      <c r="O570" s="1" t="s">
        <v>2921</v>
      </c>
      <c r="P570" s="1" t="s">
        <v>2922</v>
      </c>
      <c r="Q570" s="1" t="s">
        <v>4</v>
      </c>
      <c r="R570" s="1" t="s">
        <v>85</v>
      </c>
      <c r="S570" s="1" t="s">
        <v>4</v>
      </c>
      <c r="T570" s="1"/>
      <c r="U570" s="1"/>
      <c r="V570" s="1"/>
      <c r="W570" s="1" t="s">
        <v>1963</v>
      </c>
      <c r="X570" s="1" t="s">
        <v>2934</v>
      </c>
      <c r="Y570" s="1" t="s">
        <v>2934</v>
      </c>
      <c r="Z570" s="1" t="s">
        <v>1498</v>
      </c>
      <c r="AA570" s="1" t="s">
        <v>2935</v>
      </c>
      <c r="AB570" s="1" t="s">
        <v>2935</v>
      </c>
      <c r="AC570" s="1" t="s">
        <v>17</v>
      </c>
      <c r="AD570" s="1" t="s">
        <v>17</v>
      </c>
      <c r="AE570" s="1" t="s">
        <v>17</v>
      </c>
      <c r="AF570" s="1" t="s">
        <v>19</v>
      </c>
      <c r="AG570" s="1" t="s">
        <v>19</v>
      </c>
      <c r="AH570" s="1" t="s">
        <v>2935</v>
      </c>
    </row>
    <row r="571" spans="2:34" ht="15">
      <c r="B571" s="4" t="s">
        <v>153</v>
      </c>
      <c r="C571" s="5">
        <v>43801</v>
      </c>
      <c r="D571" s="4" t="s">
        <v>154</v>
      </c>
      <c r="E571" s="4" t="s">
        <v>2973</v>
      </c>
      <c r="F571" s="4" t="s">
        <v>3</v>
      </c>
      <c r="G571" s="4" t="s">
        <v>4</v>
      </c>
      <c r="H571" s="4" t="s">
        <v>2804</v>
      </c>
      <c r="I571" s="5">
        <v>43798</v>
      </c>
      <c r="J571" s="6">
        <v>0.42440972222222223</v>
      </c>
      <c r="K571" s="5">
        <v>43802</v>
      </c>
      <c r="L571" s="4" t="s">
        <v>2256</v>
      </c>
      <c r="M571" s="4"/>
      <c r="N571" s="4" t="s">
        <v>2920</v>
      </c>
      <c r="O571" s="4" t="s">
        <v>2921</v>
      </c>
      <c r="P571" s="4" t="s">
        <v>2922</v>
      </c>
      <c r="Q571" s="4" t="s">
        <v>4</v>
      </c>
      <c r="R571" s="4" t="s">
        <v>85</v>
      </c>
      <c r="S571" s="4" t="s">
        <v>85</v>
      </c>
      <c r="T571" s="4"/>
      <c r="U571" s="4"/>
      <c r="V571" s="4"/>
      <c r="W571" s="4" t="s">
        <v>1963</v>
      </c>
      <c r="X571" s="4" t="s">
        <v>2934</v>
      </c>
      <c r="Y571" s="4" t="s">
        <v>2934</v>
      </c>
      <c r="Z571" s="4" t="s">
        <v>1498</v>
      </c>
      <c r="AA571" s="4" t="s">
        <v>2935</v>
      </c>
      <c r="AB571" s="4" t="s">
        <v>2935</v>
      </c>
      <c r="AC571" s="4" t="s">
        <v>17</v>
      </c>
      <c r="AD571" s="4" t="s">
        <v>17</v>
      </c>
      <c r="AE571" s="4" t="s">
        <v>17</v>
      </c>
      <c r="AF571" s="4" t="s">
        <v>19</v>
      </c>
      <c r="AG571" s="4" t="s">
        <v>19</v>
      </c>
      <c r="AH571" s="4" t="s">
        <v>2935</v>
      </c>
    </row>
    <row r="572" spans="2:34" ht="15">
      <c r="B572" s="1" t="s">
        <v>153</v>
      </c>
      <c r="C572" s="2">
        <v>43801</v>
      </c>
      <c r="D572" s="1" t="s">
        <v>154</v>
      </c>
      <c r="E572" s="1" t="s">
        <v>2974</v>
      </c>
      <c r="F572" s="1" t="s">
        <v>3</v>
      </c>
      <c r="G572" s="1" t="s">
        <v>4</v>
      </c>
      <c r="H572" s="1" t="s">
        <v>325</v>
      </c>
      <c r="I572" s="2">
        <v>43798</v>
      </c>
      <c r="J572" s="3">
        <v>0.5354166666666667</v>
      </c>
      <c r="K572" s="2">
        <v>43802</v>
      </c>
      <c r="L572" s="1" t="s">
        <v>2256</v>
      </c>
      <c r="M572" s="1"/>
      <c r="N572" s="1" t="s">
        <v>2920</v>
      </c>
      <c r="O572" s="1" t="s">
        <v>2921</v>
      </c>
      <c r="P572" s="1" t="s">
        <v>2922</v>
      </c>
      <c r="Q572" s="1" t="s">
        <v>4</v>
      </c>
      <c r="R572" s="1" t="s">
        <v>4</v>
      </c>
      <c r="S572" s="1" t="s">
        <v>10</v>
      </c>
      <c r="T572" s="1"/>
      <c r="U572" s="1"/>
      <c r="V572" s="1"/>
      <c r="W572" s="1" t="s">
        <v>1963</v>
      </c>
      <c r="X572" s="1" t="s">
        <v>2975</v>
      </c>
      <c r="Y572" s="1" t="s">
        <v>2975</v>
      </c>
      <c r="Z572" s="1" t="s">
        <v>2949</v>
      </c>
      <c r="AA572" s="1" t="s">
        <v>2976</v>
      </c>
      <c r="AB572" s="1" t="s">
        <v>2977</v>
      </c>
      <c r="AC572" s="1" t="s">
        <v>2978</v>
      </c>
      <c r="AD572" s="1" t="s">
        <v>17</v>
      </c>
      <c r="AE572" s="1" t="s">
        <v>18</v>
      </c>
      <c r="AF572" s="1" t="s">
        <v>19</v>
      </c>
      <c r="AG572" s="1" t="s">
        <v>19</v>
      </c>
      <c r="AH572" s="1" t="s">
        <v>2977</v>
      </c>
    </row>
    <row r="573" spans="2:34" ht="15">
      <c r="B573" s="4" t="s">
        <v>153</v>
      </c>
      <c r="C573" s="5">
        <v>43801</v>
      </c>
      <c r="D573" s="4" t="s">
        <v>154</v>
      </c>
      <c r="E573" s="4" t="s">
        <v>2979</v>
      </c>
      <c r="F573" s="4" t="s">
        <v>3</v>
      </c>
      <c r="G573" s="4" t="s">
        <v>4</v>
      </c>
      <c r="H573" s="4" t="s">
        <v>119</v>
      </c>
      <c r="I573" s="5">
        <v>43798</v>
      </c>
      <c r="J573" s="6">
        <v>0.5854861111111112</v>
      </c>
      <c r="K573" s="5">
        <v>43802</v>
      </c>
      <c r="L573" s="4" t="s">
        <v>2256</v>
      </c>
      <c r="M573" s="4"/>
      <c r="N573" s="4" t="s">
        <v>214</v>
      </c>
      <c r="O573" s="4" t="s">
        <v>215</v>
      </c>
      <c r="P573" s="4" t="s">
        <v>2960</v>
      </c>
      <c r="Q573" s="4" t="s">
        <v>4</v>
      </c>
      <c r="R573" s="4" t="s">
        <v>4</v>
      </c>
      <c r="S573" s="4" t="s">
        <v>10</v>
      </c>
      <c r="T573" s="4"/>
      <c r="U573" s="4"/>
      <c r="V573" s="4"/>
      <c r="W573" s="4" t="s">
        <v>1963</v>
      </c>
      <c r="X573" s="4" t="s">
        <v>2968</v>
      </c>
      <c r="Y573" s="4" t="s">
        <v>2968</v>
      </c>
      <c r="Z573" s="4" t="s">
        <v>2962</v>
      </c>
      <c r="AA573" s="4" t="s">
        <v>2980</v>
      </c>
      <c r="AB573" s="4" t="s">
        <v>2981</v>
      </c>
      <c r="AC573" s="4" t="s">
        <v>2982</v>
      </c>
      <c r="AD573" s="4" t="s">
        <v>17</v>
      </c>
      <c r="AE573" s="4" t="s">
        <v>2983</v>
      </c>
      <c r="AF573" s="4" t="s">
        <v>19</v>
      </c>
      <c r="AG573" s="4" t="s">
        <v>19</v>
      </c>
      <c r="AH573" s="4" t="s">
        <v>2981</v>
      </c>
    </row>
    <row r="574" spans="2:34" ht="15">
      <c r="B574" s="1" t="s">
        <v>153</v>
      </c>
      <c r="C574" s="2">
        <v>43801</v>
      </c>
      <c r="D574" s="1" t="s">
        <v>154</v>
      </c>
      <c r="E574" s="1" t="s">
        <v>2984</v>
      </c>
      <c r="F574" s="1" t="s">
        <v>3</v>
      </c>
      <c r="G574" s="1" t="s">
        <v>4</v>
      </c>
      <c r="H574" s="1" t="s">
        <v>119</v>
      </c>
      <c r="I574" s="2">
        <v>43798</v>
      </c>
      <c r="J574" s="3">
        <v>0.5851157407407407</v>
      </c>
      <c r="K574" s="2">
        <v>43802</v>
      </c>
      <c r="L574" s="1" t="s">
        <v>2256</v>
      </c>
      <c r="M574" s="1"/>
      <c r="N574" s="1" t="s">
        <v>214</v>
      </c>
      <c r="O574" s="1" t="s">
        <v>215</v>
      </c>
      <c r="P574" s="1" t="s">
        <v>2960</v>
      </c>
      <c r="Q574" s="1" t="s">
        <v>4</v>
      </c>
      <c r="R574" s="1" t="s">
        <v>4</v>
      </c>
      <c r="S574" s="1" t="s">
        <v>10</v>
      </c>
      <c r="T574" s="1"/>
      <c r="U574" s="1"/>
      <c r="V574" s="1"/>
      <c r="W574" s="1" t="s">
        <v>1963</v>
      </c>
      <c r="X574" s="1" t="s">
        <v>2985</v>
      </c>
      <c r="Y574" s="1" t="s">
        <v>2985</v>
      </c>
      <c r="Z574" s="1" t="s">
        <v>2495</v>
      </c>
      <c r="AA574" s="1" t="s">
        <v>2986</v>
      </c>
      <c r="AB574" s="1" t="s">
        <v>2987</v>
      </c>
      <c r="AC574" s="1" t="s">
        <v>2988</v>
      </c>
      <c r="AD574" s="1" t="s">
        <v>17</v>
      </c>
      <c r="AE574" s="1" t="s">
        <v>2989</v>
      </c>
      <c r="AF574" s="1" t="s">
        <v>19</v>
      </c>
      <c r="AG574" s="1" t="s">
        <v>19</v>
      </c>
      <c r="AH574" s="1" t="s">
        <v>2987</v>
      </c>
    </row>
    <row r="575" spans="2:34" ht="15">
      <c r="B575" s="4" t="s">
        <v>1518</v>
      </c>
      <c r="C575" s="5">
        <v>43802</v>
      </c>
      <c r="D575" s="4" t="s">
        <v>21</v>
      </c>
      <c r="E575" s="4" t="s">
        <v>2946</v>
      </c>
      <c r="F575" s="4" t="s">
        <v>3</v>
      </c>
      <c r="G575" s="4" t="s">
        <v>85</v>
      </c>
      <c r="H575" s="4" t="s">
        <v>2804</v>
      </c>
      <c r="I575" s="5">
        <v>43798</v>
      </c>
      <c r="J575" s="6">
        <v>0.42440972222222223</v>
      </c>
      <c r="K575" s="5">
        <v>43802</v>
      </c>
      <c r="L575" s="4" t="s">
        <v>2256</v>
      </c>
      <c r="M575" s="4"/>
      <c r="N575" s="4" t="s">
        <v>2920</v>
      </c>
      <c r="O575" s="4" t="s">
        <v>2921</v>
      </c>
      <c r="P575" s="4" t="s">
        <v>2922</v>
      </c>
      <c r="Q575" s="4" t="s">
        <v>4</v>
      </c>
      <c r="R575" s="4" t="s">
        <v>85</v>
      </c>
      <c r="S575" s="4" t="s">
        <v>85</v>
      </c>
      <c r="T575" s="4"/>
      <c r="U575" s="4"/>
      <c r="V575" s="4"/>
      <c r="W575" s="4" t="s">
        <v>1963</v>
      </c>
      <c r="X575" s="4" t="s">
        <v>2932</v>
      </c>
      <c r="Y575" s="4" t="s">
        <v>2932</v>
      </c>
      <c r="Z575" s="4" t="s">
        <v>1498</v>
      </c>
      <c r="AA575" s="4" t="s">
        <v>2933</v>
      </c>
      <c r="AB575" s="4" t="s">
        <v>2933</v>
      </c>
      <c r="AC575" s="4" t="s">
        <v>17</v>
      </c>
      <c r="AD575" s="4" t="s">
        <v>17</v>
      </c>
      <c r="AE575" s="4" t="s">
        <v>17</v>
      </c>
      <c r="AF575" s="4" t="s">
        <v>19</v>
      </c>
      <c r="AG575" s="4" t="s">
        <v>19</v>
      </c>
      <c r="AH575" s="4" t="s">
        <v>2933</v>
      </c>
    </row>
    <row r="576" spans="2:34" ht="15">
      <c r="B576" s="1" t="s">
        <v>1518</v>
      </c>
      <c r="C576" s="2">
        <v>43802</v>
      </c>
      <c r="D576" s="1" t="s">
        <v>21</v>
      </c>
      <c r="E576" s="1" t="s">
        <v>2959</v>
      </c>
      <c r="F576" s="1" t="s">
        <v>3</v>
      </c>
      <c r="G576" s="1" t="s">
        <v>4</v>
      </c>
      <c r="H576" s="1" t="s">
        <v>2804</v>
      </c>
      <c r="I576" s="2">
        <v>43798</v>
      </c>
      <c r="J576" s="3">
        <v>0.42440972222222223</v>
      </c>
      <c r="K576" s="2">
        <v>43802</v>
      </c>
      <c r="L576" s="1" t="s">
        <v>2256</v>
      </c>
      <c r="M576" s="1"/>
      <c r="N576" s="1" t="s">
        <v>2920</v>
      </c>
      <c r="O576" s="1" t="s">
        <v>2921</v>
      </c>
      <c r="P576" s="1" t="s">
        <v>2922</v>
      </c>
      <c r="Q576" s="1" t="s">
        <v>4</v>
      </c>
      <c r="R576" s="1" t="s">
        <v>85</v>
      </c>
      <c r="S576" s="1" t="s">
        <v>4</v>
      </c>
      <c r="T576" s="1"/>
      <c r="U576" s="1"/>
      <c r="V576" s="1"/>
      <c r="W576" s="1" t="s">
        <v>1963</v>
      </c>
      <c r="X576" s="1" t="s">
        <v>2932</v>
      </c>
      <c r="Y576" s="1" t="s">
        <v>2932</v>
      </c>
      <c r="Z576" s="1" t="s">
        <v>1498</v>
      </c>
      <c r="AA576" s="1" t="s">
        <v>2933</v>
      </c>
      <c r="AB576" s="1" t="s">
        <v>2933</v>
      </c>
      <c r="AC576" s="1" t="s">
        <v>17</v>
      </c>
      <c r="AD576" s="1" t="s">
        <v>17</v>
      </c>
      <c r="AE576" s="1" t="s">
        <v>17</v>
      </c>
      <c r="AF576" s="1" t="s">
        <v>19</v>
      </c>
      <c r="AG576" s="1" t="s">
        <v>19</v>
      </c>
      <c r="AH576" s="1" t="s">
        <v>2933</v>
      </c>
    </row>
    <row r="577" spans="2:34" ht="15">
      <c r="B577" s="4" t="s">
        <v>153</v>
      </c>
      <c r="C577" s="5">
        <v>43802</v>
      </c>
      <c r="D577" s="4" t="s">
        <v>154</v>
      </c>
      <c r="E577" s="4" t="s">
        <v>2973</v>
      </c>
      <c r="F577" s="4" t="s">
        <v>3</v>
      </c>
      <c r="G577" s="4" t="s">
        <v>85</v>
      </c>
      <c r="H577" s="4" t="s">
        <v>2804</v>
      </c>
      <c r="I577" s="5">
        <v>43798</v>
      </c>
      <c r="J577" s="6">
        <v>0.42440972222222223</v>
      </c>
      <c r="K577" s="5">
        <v>43802</v>
      </c>
      <c r="L577" s="4" t="s">
        <v>2256</v>
      </c>
      <c r="M577" s="4"/>
      <c r="N577" s="4" t="s">
        <v>2920</v>
      </c>
      <c r="O577" s="4" t="s">
        <v>2921</v>
      </c>
      <c r="P577" s="4" t="s">
        <v>2922</v>
      </c>
      <c r="Q577" s="4" t="s">
        <v>4</v>
      </c>
      <c r="R577" s="4" t="s">
        <v>85</v>
      </c>
      <c r="S577" s="4" t="s">
        <v>85</v>
      </c>
      <c r="T577" s="4"/>
      <c r="U577" s="4"/>
      <c r="V577" s="4"/>
      <c r="W577" s="4" t="s">
        <v>1963</v>
      </c>
      <c r="X577" s="4" t="s">
        <v>2934</v>
      </c>
      <c r="Y577" s="4" t="s">
        <v>2934</v>
      </c>
      <c r="Z577" s="4" t="s">
        <v>1498</v>
      </c>
      <c r="AA577" s="4" t="s">
        <v>2935</v>
      </c>
      <c r="AB577" s="4" t="s">
        <v>2935</v>
      </c>
      <c r="AC577" s="4" t="s">
        <v>17</v>
      </c>
      <c r="AD577" s="4" t="s">
        <v>17</v>
      </c>
      <c r="AE577" s="4" t="s">
        <v>17</v>
      </c>
      <c r="AF577" s="4" t="s">
        <v>19</v>
      </c>
      <c r="AG577" s="4" t="s">
        <v>19</v>
      </c>
      <c r="AH577" s="4" t="s">
        <v>2935</v>
      </c>
    </row>
    <row r="578" spans="2:34" ht="15">
      <c r="B578" s="1" t="s">
        <v>153</v>
      </c>
      <c r="C578" s="2">
        <v>43802</v>
      </c>
      <c r="D578" s="1" t="s">
        <v>154</v>
      </c>
      <c r="E578" s="1" t="s">
        <v>2967</v>
      </c>
      <c r="F578" s="1" t="s">
        <v>3</v>
      </c>
      <c r="G578" s="1" t="s">
        <v>4</v>
      </c>
      <c r="H578" s="1" t="s">
        <v>2804</v>
      </c>
      <c r="I578" s="2">
        <v>43798</v>
      </c>
      <c r="J578" s="3">
        <v>0.42440972222222223</v>
      </c>
      <c r="K578" s="2">
        <v>43802</v>
      </c>
      <c r="L578" s="1" t="s">
        <v>2256</v>
      </c>
      <c r="M578" s="1"/>
      <c r="N578" s="1" t="s">
        <v>2920</v>
      </c>
      <c r="O578" s="1" t="s">
        <v>2921</v>
      </c>
      <c r="P578" s="1" t="s">
        <v>2922</v>
      </c>
      <c r="Q578" s="1" t="s">
        <v>4</v>
      </c>
      <c r="R578" s="1" t="s">
        <v>85</v>
      </c>
      <c r="S578" s="1" t="s">
        <v>4</v>
      </c>
      <c r="T578" s="1"/>
      <c r="U578" s="1"/>
      <c r="V578" s="1"/>
      <c r="W578" s="1" t="s">
        <v>1963</v>
      </c>
      <c r="X578" s="1" t="s">
        <v>2934</v>
      </c>
      <c r="Y578" s="1" t="s">
        <v>2934</v>
      </c>
      <c r="Z578" s="1" t="s">
        <v>1498</v>
      </c>
      <c r="AA578" s="1" t="s">
        <v>2935</v>
      </c>
      <c r="AB578" s="1" t="s">
        <v>2935</v>
      </c>
      <c r="AC578" s="1" t="s">
        <v>17</v>
      </c>
      <c r="AD578" s="1" t="s">
        <v>17</v>
      </c>
      <c r="AE578" s="1" t="s">
        <v>17</v>
      </c>
      <c r="AF578" s="1" t="s">
        <v>19</v>
      </c>
      <c r="AG578" s="1" t="s">
        <v>19</v>
      </c>
      <c r="AH578" s="1" t="s">
        <v>2935</v>
      </c>
    </row>
    <row r="579" spans="2:34" ht="15">
      <c r="B579" s="4" t="s">
        <v>1518</v>
      </c>
      <c r="C579" s="5">
        <v>43804</v>
      </c>
      <c r="D579" s="4" t="s">
        <v>21</v>
      </c>
      <c r="E579" s="4" t="s">
        <v>2990</v>
      </c>
      <c r="F579" s="4" t="s">
        <v>3</v>
      </c>
      <c r="G579" s="4" t="s">
        <v>4</v>
      </c>
      <c r="H579" s="4" t="s">
        <v>23</v>
      </c>
      <c r="I579" s="5">
        <v>43803</v>
      </c>
      <c r="J579" s="6">
        <v>0.6522916666666667</v>
      </c>
      <c r="K579" s="5">
        <v>43805</v>
      </c>
      <c r="L579" s="4" t="s">
        <v>2256</v>
      </c>
      <c r="M579" s="4"/>
      <c r="N579" s="4" t="s">
        <v>2353</v>
      </c>
      <c r="O579" s="4" t="s">
        <v>2309</v>
      </c>
      <c r="P579" s="4" t="s">
        <v>2426</v>
      </c>
      <c r="Q579" s="4" t="s">
        <v>4</v>
      </c>
      <c r="R579" s="4" t="s">
        <v>4</v>
      </c>
      <c r="S579" s="4" t="s">
        <v>10</v>
      </c>
      <c r="T579" s="4"/>
      <c r="U579" s="4"/>
      <c r="V579" s="4"/>
      <c r="W579" s="4" t="s">
        <v>2258</v>
      </c>
      <c r="X579" s="4" t="s">
        <v>2991</v>
      </c>
      <c r="Y579" s="4" t="s">
        <v>2991</v>
      </c>
      <c r="Z579" s="4" t="s">
        <v>2312</v>
      </c>
      <c r="AA579" s="4" t="s">
        <v>2992</v>
      </c>
      <c r="AB579" s="4" t="s">
        <v>2993</v>
      </c>
      <c r="AC579" s="4" t="s">
        <v>2994</v>
      </c>
      <c r="AD579" s="4" t="s">
        <v>17</v>
      </c>
      <c r="AE579" s="4" t="s">
        <v>18</v>
      </c>
      <c r="AF579" s="4" t="s">
        <v>19</v>
      </c>
      <c r="AG579" s="4" t="s">
        <v>19</v>
      </c>
      <c r="AH579" s="4" t="s">
        <v>2993</v>
      </c>
    </row>
    <row r="580" spans="2:34" ht="15">
      <c r="B580" s="1" t="s">
        <v>1524</v>
      </c>
      <c r="C580" s="2">
        <v>43804</v>
      </c>
      <c r="D580" s="1" t="s">
        <v>1</v>
      </c>
      <c r="E580" s="1" t="s">
        <v>2995</v>
      </c>
      <c r="F580" s="1" t="s">
        <v>3</v>
      </c>
      <c r="G580" s="1" t="s">
        <v>4</v>
      </c>
      <c r="H580" s="1" t="s">
        <v>632</v>
      </c>
      <c r="I580" s="2">
        <v>43803</v>
      </c>
      <c r="J580" s="3">
        <v>0.6761458333333333</v>
      </c>
      <c r="K580" s="2">
        <v>43805</v>
      </c>
      <c r="L580" s="1" t="s">
        <v>2256</v>
      </c>
      <c r="M580" s="1"/>
      <c r="N580" s="1" t="s">
        <v>2938</v>
      </c>
      <c r="O580" s="1" t="s">
        <v>2939</v>
      </c>
      <c r="P580" s="1" t="s">
        <v>2940</v>
      </c>
      <c r="Q580" s="1" t="s">
        <v>4</v>
      </c>
      <c r="R580" s="1" t="s">
        <v>4</v>
      </c>
      <c r="S580" s="1" t="s">
        <v>10</v>
      </c>
      <c r="T580" s="1"/>
      <c r="U580" s="1"/>
      <c r="V580" s="1"/>
      <c r="W580" s="1" t="s">
        <v>1963</v>
      </c>
      <c r="X580" s="1" t="s">
        <v>2996</v>
      </c>
      <c r="Y580" s="1" t="s">
        <v>2996</v>
      </c>
      <c r="Z580" s="1" t="s">
        <v>2997</v>
      </c>
      <c r="AA580" s="1" t="s">
        <v>2998</v>
      </c>
      <c r="AB580" s="1" t="s">
        <v>2999</v>
      </c>
      <c r="AC580" s="1" t="s">
        <v>3000</v>
      </c>
      <c r="AD580" s="1" t="s">
        <v>17</v>
      </c>
      <c r="AE580" s="1" t="s">
        <v>3001</v>
      </c>
      <c r="AF580" s="1" t="s">
        <v>19</v>
      </c>
      <c r="AG580" s="1" t="s">
        <v>19</v>
      </c>
      <c r="AH580" s="1" t="s">
        <v>2999</v>
      </c>
    </row>
    <row r="581" spans="2:34" ht="15">
      <c r="B581" s="4" t="s">
        <v>153</v>
      </c>
      <c r="C581" s="5">
        <v>43804</v>
      </c>
      <c r="D581" s="4" t="s">
        <v>154</v>
      </c>
      <c r="E581" s="4" t="s">
        <v>3002</v>
      </c>
      <c r="F581" s="4" t="s">
        <v>3</v>
      </c>
      <c r="G581" s="4" t="s">
        <v>4</v>
      </c>
      <c r="H581" s="4" t="s">
        <v>23</v>
      </c>
      <c r="I581" s="5">
        <v>43803</v>
      </c>
      <c r="J581" s="6">
        <v>0.6522916666666667</v>
      </c>
      <c r="K581" s="5">
        <v>43805</v>
      </c>
      <c r="L581" s="4" t="s">
        <v>2256</v>
      </c>
      <c r="M581" s="4"/>
      <c r="N581" s="4" t="s">
        <v>2353</v>
      </c>
      <c r="O581" s="4" t="s">
        <v>2309</v>
      </c>
      <c r="P581" s="4" t="s">
        <v>2426</v>
      </c>
      <c r="Q581" s="4" t="s">
        <v>4</v>
      </c>
      <c r="R581" s="4" t="s">
        <v>4</v>
      </c>
      <c r="S581" s="4" t="s">
        <v>10</v>
      </c>
      <c r="T581" s="4"/>
      <c r="U581" s="4"/>
      <c r="V581" s="4"/>
      <c r="W581" s="4" t="s">
        <v>2258</v>
      </c>
      <c r="X581" s="4" t="s">
        <v>3003</v>
      </c>
      <c r="Y581" s="4" t="s">
        <v>3003</v>
      </c>
      <c r="Z581" s="4" t="s">
        <v>2312</v>
      </c>
      <c r="AA581" s="4" t="s">
        <v>3004</v>
      </c>
      <c r="AB581" s="4" t="s">
        <v>3005</v>
      </c>
      <c r="AC581" s="4" t="s">
        <v>3006</v>
      </c>
      <c r="AD581" s="4" t="s">
        <v>17</v>
      </c>
      <c r="AE581" s="4" t="s">
        <v>17</v>
      </c>
      <c r="AF581" s="4" t="s">
        <v>19</v>
      </c>
      <c r="AG581" s="4" t="s">
        <v>19</v>
      </c>
      <c r="AH581" s="4" t="s">
        <v>3005</v>
      </c>
    </row>
    <row r="582" spans="2:34" ht="15">
      <c r="B582" s="1" t="s">
        <v>1518</v>
      </c>
      <c r="C582" s="2">
        <v>43808</v>
      </c>
      <c r="D582" s="1" t="s">
        <v>21</v>
      </c>
      <c r="E582" s="1" t="s">
        <v>3007</v>
      </c>
      <c r="F582" s="1" t="s">
        <v>3</v>
      </c>
      <c r="G582" s="1" t="s">
        <v>4</v>
      </c>
      <c r="H582" s="1" t="s">
        <v>119</v>
      </c>
      <c r="I582" s="2">
        <v>43805</v>
      </c>
      <c r="J582" s="3">
        <v>0.6648495370370371</v>
      </c>
      <c r="K582" s="2">
        <v>43809</v>
      </c>
      <c r="L582" s="1" t="s">
        <v>2256</v>
      </c>
      <c r="M582" s="1"/>
      <c r="N582" s="1" t="s">
        <v>3008</v>
      </c>
      <c r="O582" s="1" t="s">
        <v>3009</v>
      </c>
      <c r="P582" s="1" t="s">
        <v>3010</v>
      </c>
      <c r="Q582" s="1" t="s">
        <v>4</v>
      </c>
      <c r="R582" s="1" t="s">
        <v>4</v>
      </c>
      <c r="S582" s="1" t="s">
        <v>10</v>
      </c>
      <c r="T582" s="1"/>
      <c r="U582" s="1"/>
      <c r="V582" s="1"/>
      <c r="W582" s="1" t="s">
        <v>1963</v>
      </c>
      <c r="X582" s="1" t="s">
        <v>3011</v>
      </c>
      <c r="Y582" s="1" t="s">
        <v>3011</v>
      </c>
      <c r="Z582" s="1" t="s">
        <v>3012</v>
      </c>
      <c r="AA582" s="1" t="s">
        <v>3013</v>
      </c>
      <c r="AB582" s="1" t="s">
        <v>3014</v>
      </c>
      <c r="AC582" s="1" t="s">
        <v>3015</v>
      </c>
      <c r="AD582" s="1" t="s">
        <v>17</v>
      </c>
      <c r="AE582" s="1" t="s">
        <v>18</v>
      </c>
      <c r="AF582" s="1" t="s">
        <v>19</v>
      </c>
      <c r="AG582" s="1" t="s">
        <v>19</v>
      </c>
      <c r="AH582" s="1" t="s">
        <v>3014</v>
      </c>
    </row>
    <row r="583" spans="2:34" ht="15">
      <c r="B583" s="4" t="s">
        <v>1524</v>
      </c>
      <c r="C583" s="5">
        <v>43811</v>
      </c>
      <c r="D583" s="4" t="s">
        <v>1</v>
      </c>
      <c r="E583" s="4" t="s">
        <v>3016</v>
      </c>
      <c r="F583" s="4" t="s">
        <v>3</v>
      </c>
      <c r="G583" s="4" t="s">
        <v>4</v>
      </c>
      <c r="H583" s="4" t="s">
        <v>632</v>
      </c>
      <c r="I583" s="5">
        <v>43810</v>
      </c>
      <c r="J583" s="6">
        <v>0.6822685185185186</v>
      </c>
      <c r="K583" s="5">
        <v>43812</v>
      </c>
      <c r="L583" s="4" t="s">
        <v>2256</v>
      </c>
      <c r="M583" s="4"/>
      <c r="N583" s="4" t="s">
        <v>2938</v>
      </c>
      <c r="O583" s="4" t="s">
        <v>2939</v>
      </c>
      <c r="P583" s="4" t="s">
        <v>2940</v>
      </c>
      <c r="Q583" s="4" t="s">
        <v>4</v>
      </c>
      <c r="R583" s="4" t="s">
        <v>4</v>
      </c>
      <c r="S583" s="4" t="s">
        <v>10</v>
      </c>
      <c r="T583" s="4"/>
      <c r="U583" s="4"/>
      <c r="V583" s="4"/>
      <c r="W583" s="4" t="s">
        <v>2258</v>
      </c>
      <c r="X583" s="4" t="s">
        <v>2996</v>
      </c>
      <c r="Y583" s="4" t="s">
        <v>2996</v>
      </c>
      <c r="Z583" s="4" t="s">
        <v>3017</v>
      </c>
      <c r="AA583" s="4" t="s">
        <v>3018</v>
      </c>
      <c r="AB583" s="4" t="s">
        <v>3019</v>
      </c>
      <c r="AC583" s="4" t="s">
        <v>3020</v>
      </c>
      <c r="AD583" s="4" t="s">
        <v>17</v>
      </c>
      <c r="AE583" s="4" t="s">
        <v>18</v>
      </c>
      <c r="AF583" s="4" t="s">
        <v>19</v>
      </c>
      <c r="AG583" s="4" t="s">
        <v>19</v>
      </c>
      <c r="AH583" s="4" t="s">
        <v>3019</v>
      </c>
    </row>
    <row r="584" spans="2:34" ht="15">
      <c r="B584" s="1" t="s">
        <v>1518</v>
      </c>
      <c r="C584" s="2">
        <v>43812</v>
      </c>
      <c r="D584" s="1" t="s">
        <v>21</v>
      </c>
      <c r="E584" s="1" t="s">
        <v>3021</v>
      </c>
      <c r="F584" s="1" t="s">
        <v>3</v>
      </c>
      <c r="G584" s="1" t="s">
        <v>4</v>
      </c>
      <c r="H584" s="1" t="s">
        <v>632</v>
      </c>
      <c r="I584" s="2">
        <v>43811</v>
      </c>
      <c r="J584" s="3">
        <v>0.6519791666666667</v>
      </c>
      <c r="K584" s="2">
        <v>43815</v>
      </c>
      <c r="L584" s="1" t="s">
        <v>2256</v>
      </c>
      <c r="M584" s="1"/>
      <c r="N584" s="1" t="s">
        <v>2353</v>
      </c>
      <c r="O584" s="1" t="s">
        <v>2309</v>
      </c>
      <c r="P584" s="1" t="s">
        <v>2426</v>
      </c>
      <c r="Q584" s="1" t="s">
        <v>4</v>
      </c>
      <c r="R584" s="1" t="s">
        <v>4</v>
      </c>
      <c r="S584" s="1" t="s">
        <v>4</v>
      </c>
      <c r="T584" s="1"/>
      <c r="U584" s="1"/>
      <c r="V584" s="1"/>
      <c r="W584" s="1" t="s">
        <v>2258</v>
      </c>
      <c r="X584" s="1" t="s">
        <v>3022</v>
      </c>
      <c r="Y584" s="1" t="s">
        <v>3022</v>
      </c>
      <c r="Z584" s="1" t="s">
        <v>2312</v>
      </c>
      <c r="AA584" s="1" t="s">
        <v>3023</v>
      </c>
      <c r="AB584" s="1" t="s">
        <v>3024</v>
      </c>
      <c r="AC584" s="1" t="s">
        <v>3025</v>
      </c>
      <c r="AD584" s="1" t="s">
        <v>17</v>
      </c>
      <c r="AE584" s="1" t="s">
        <v>18</v>
      </c>
      <c r="AF584" s="1" t="s">
        <v>19</v>
      </c>
      <c r="AG584" s="1" t="s">
        <v>19</v>
      </c>
      <c r="AH584" s="1" t="s">
        <v>3024</v>
      </c>
    </row>
    <row r="585" spans="2:34" ht="15">
      <c r="B585" s="4" t="s">
        <v>1518</v>
      </c>
      <c r="C585" s="5">
        <v>43812</v>
      </c>
      <c r="D585" s="4" t="s">
        <v>21</v>
      </c>
      <c r="E585" s="4" t="s">
        <v>3026</v>
      </c>
      <c r="F585" s="4" t="s">
        <v>3</v>
      </c>
      <c r="G585" s="4" t="s">
        <v>4</v>
      </c>
      <c r="H585" s="4" t="s">
        <v>632</v>
      </c>
      <c r="I585" s="5">
        <v>43812</v>
      </c>
      <c r="J585" s="6">
        <v>0.3454861111111111</v>
      </c>
      <c r="K585" s="5">
        <v>43816</v>
      </c>
      <c r="L585" s="4" t="s">
        <v>2256</v>
      </c>
      <c r="M585" s="4"/>
      <c r="N585" s="4" t="s">
        <v>2353</v>
      </c>
      <c r="O585" s="4" t="s">
        <v>2309</v>
      </c>
      <c r="P585" s="4" t="s">
        <v>2426</v>
      </c>
      <c r="Q585" s="4" t="s">
        <v>4</v>
      </c>
      <c r="R585" s="4" t="s">
        <v>4</v>
      </c>
      <c r="S585" s="4" t="s">
        <v>4</v>
      </c>
      <c r="T585" s="4"/>
      <c r="U585" s="4"/>
      <c r="V585" s="4"/>
      <c r="W585" s="4" t="s">
        <v>2258</v>
      </c>
      <c r="X585" s="4" t="s">
        <v>3027</v>
      </c>
      <c r="Y585" s="4" t="s">
        <v>3027</v>
      </c>
      <c r="Z585" s="4" t="s">
        <v>2312</v>
      </c>
      <c r="AA585" s="4" t="s">
        <v>3028</v>
      </c>
      <c r="AB585" s="4" t="s">
        <v>3029</v>
      </c>
      <c r="AC585" s="4" t="s">
        <v>3030</v>
      </c>
      <c r="AD585" s="4" t="s">
        <v>17</v>
      </c>
      <c r="AE585" s="4" t="s">
        <v>18</v>
      </c>
      <c r="AF585" s="4" t="s">
        <v>19</v>
      </c>
      <c r="AG585" s="4" t="s">
        <v>19</v>
      </c>
      <c r="AH585" s="4" t="s">
        <v>3029</v>
      </c>
    </row>
    <row r="586" spans="2:34" ht="15">
      <c r="B586" s="1" t="s">
        <v>153</v>
      </c>
      <c r="C586" s="2">
        <v>43812</v>
      </c>
      <c r="D586" s="1" t="s">
        <v>154</v>
      </c>
      <c r="E586" s="1" t="s">
        <v>3031</v>
      </c>
      <c r="F586" s="1" t="s">
        <v>3</v>
      </c>
      <c r="G586" s="1" t="s">
        <v>4</v>
      </c>
      <c r="H586" s="1" t="s">
        <v>632</v>
      </c>
      <c r="I586" s="2">
        <v>43811</v>
      </c>
      <c r="J586" s="3">
        <v>0.6519791666666667</v>
      </c>
      <c r="K586" s="2">
        <v>43815</v>
      </c>
      <c r="L586" s="1" t="s">
        <v>2256</v>
      </c>
      <c r="M586" s="1"/>
      <c r="N586" s="1" t="s">
        <v>2353</v>
      </c>
      <c r="O586" s="1" t="s">
        <v>2309</v>
      </c>
      <c r="P586" s="1" t="s">
        <v>2426</v>
      </c>
      <c r="Q586" s="1" t="s">
        <v>4</v>
      </c>
      <c r="R586" s="1" t="s">
        <v>4</v>
      </c>
      <c r="S586" s="1" t="s">
        <v>4</v>
      </c>
      <c r="T586" s="1"/>
      <c r="U586" s="1"/>
      <c r="V586" s="1"/>
      <c r="W586" s="1" t="s">
        <v>2258</v>
      </c>
      <c r="X586" s="1" t="s">
        <v>3032</v>
      </c>
      <c r="Y586" s="1" t="s">
        <v>3032</v>
      </c>
      <c r="Z586" s="1" t="s">
        <v>2312</v>
      </c>
      <c r="AA586" s="1" t="s">
        <v>3033</v>
      </c>
      <c r="AB586" s="1" t="s">
        <v>3034</v>
      </c>
      <c r="AC586" s="1" t="s">
        <v>2428</v>
      </c>
      <c r="AD586" s="1" t="s">
        <v>17</v>
      </c>
      <c r="AE586" s="1" t="s">
        <v>17</v>
      </c>
      <c r="AF586" s="1" t="s">
        <v>19</v>
      </c>
      <c r="AG586" s="1" t="s">
        <v>19</v>
      </c>
      <c r="AH586" s="1" t="s">
        <v>3034</v>
      </c>
    </row>
    <row r="587" spans="2:34" ht="15">
      <c r="B587" s="4" t="s">
        <v>153</v>
      </c>
      <c r="C587" s="5">
        <v>43812</v>
      </c>
      <c r="D587" s="4" t="s">
        <v>154</v>
      </c>
      <c r="E587" s="4" t="s">
        <v>3035</v>
      </c>
      <c r="F587" s="4" t="s">
        <v>3</v>
      </c>
      <c r="G587" s="4" t="s">
        <v>4</v>
      </c>
      <c r="H587" s="4" t="s">
        <v>632</v>
      </c>
      <c r="I587" s="5">
        <v>43812</v>
      </c>
      <c r="J587" s="6">
        <v>0.3454861111111111</v>
      </c>
      <c r="K587" s="5">
        <v>43816</v>
      </c>
      <c r="L587" s="4" t="s">
        <v>2256</v>
      </c>
      <c r="M587" s="4"/>
      <c r="N587" s="4" t="s">
        <v>2353</v>
      </c>
      <c r="O587" s="4" t="s">
        <v>2309</v>
      </c>
      <c r="P587" s="4" t="s">
        <v>2426</v>
      </c>
      <c r="Q587" s="4" t="s">
        <v>4</v>
      </c>
      <c r="R587" s="4" t="s">
        <v>4</v>
      </c>
      <c r="S587" s="4" t="s">
        <v>4</v>
      </c>
      <c r="T587" s="4"/>
      <c r="U587" s="4"/>
      <c r="V587" s="4"/>
      <c r="W587" s="4" t="s">
        <v>2258</v>
      </c>
      <c r="X587" s="4" t="s">
        <v>3036</v>
      </c>
      <c r="Y587" s="4" t="s">
        <v>3036</v>
      </c>
      <c r="Z587" s="4" t="s">
        <v>2312</v>
      </c>
      <c r="AA587" s="4" t="s">
        <v>3037</v>
      </c>
      <c r="AB587" s="4" t="s">
        <v>3038</v>
      </c>
      <c r="AC587" s="4" t="s">
        <v>1068</v>
      </c>
      <c r="AD587" s="4" t="s">
        <v>17</v>
      </c>
      <c r="AE587" s="4" t="s">
        <v>17</v>
      </c>
      <c r="AF587" s="4" t="s">
        <v>19</v>
      </c>
      <c r="AG587" s="4" t="s">
        <v>19</v>
      </c>
      <c r="AH587" s="4" t="s">
        <v>3038</v>
      </c>
    </row>
    <row r="588" spans="2:34" ht="15">
      <c r="B588" s="1" t="s">
        <v>1518</v>
      </c>
      <c r="C588" s="2">
        <v>43815</v>
      </c>
      <c r="D588" s="1" t="s">
        <v>21</v>
      </c>
      <c r="E588" s="1" t="s">
        <v>3039</v>
      </c>
      <c r="F588" s="1" t="s">
        <v>3</v>
      </c>
      <c r="G588" s="1" t="s">
        <v>4</v>
      </c>
      <c r="H588" s="1" t="s">
        <v>632</v>
      </c>
      <c r="I588" s="2">
        <v>43812</v>
      </c>
      <c r="J588" s="3">
        <v>0.700324074074074</v>
      </c>
      <c r="K588" s="2">
        <v>43816</v>
      </c>
      <c r="L588" s="1" t="s">
        <v>2256</v>
      </c>
      <c r="M588" s="1"/>
      <c r="N588" s="1" t="s">
        <v>2353</v>
      </c>
      <c r="O588" s="1" t="s">
        <v>2309</v>
      </c>
      <c r="P588" s="1" t="s">
        <v>2426</v>
      </c>
      <c r="Q588" s="1" t="s">
        <v>4</v>
      </c>
      <c r="R588" s="1" t="s">
        <v>4</v>
      </c>
      <c r="S588" s="1" t="s">
        <v>10</v>
      </c>
      <c r="T588" s="1"/>
      <c r="U588" s="1"/>
      <c r="V588" s="1"/>
      <c r="W588" s="1" t="s">
        <v>2258</v>
      </c>
      <c r="X588" s="1" t="s">
        <v>3040</v>
      </c>
      <c r="Y588" s="1" t="s">
        <v>3040</v>
      </c>
      <c r="Z588" s="1" t="s">
        <v>3041</v>
      </c>
      <c r="AA588" s="1" t="s">
        <v>3042</v>
      </c>
      <c r="AB588" s="1" t="s">
        <v>3043</v>
      </c>
      <c r="AC588" s="1" t="s">
        <v>3044</v>
      </c>
      <c r="AD588" s="1" t="s">
        <v>17</v>
      </c>
      <c r="AE588" s="1" t="s">
        <v>18</v>
      </c>
      <c r="AF588" s="1" t="s">
        <v>19</v>
      </c>
      <c r="AG588" s="1" t="s">
        <v>19</v>
      </c>
      <c r="AH588" s="1" t="s">
        <v>3043</v>
      </c>
    </row>
    <row r="589" spans="2:34" ht="15">
      <c r="B589" s="4" t="s">
        <v>1518</v>
      </c>
      <c r="C589" s="5">
        <v>43815</v>
      </c>
      <c r="D589" s="4" t="s">
        <v>21</v>
      </c>
      <c r="E589" s="4" t="s">
        <v>3045</v>
      </c>
      <c r="F589" s="4" t="s">
        <v>3</v>
      </c>
      <c r="G589" s="4" t="s">
        <v>4</v>
      </c>
      <c r="H589" s="4" t="s">
        <v>183</v>
      </c>
      <c r="I589" s="5">
        <v>43812</v>
      </c>
      <c r="J589" s="6">
        <v>0.5149537037037037</v>
      </c>
      <c r="K589" s="5">
        <v>43816</v>
      </c>
      <c r="L589" s="4" t="s">
        <v>2256</v>
      </c>
      <c r="M589" s="4"/>
      <c r="N589" s="4" t="s">
        <v>1253</v>
      </c>
      <c r="O589" s="4" t="s">
        <v>1254</v>
      </c>
      <c r="P589" s="4" t="s">
        <v>2774</v>
      </c>
      <c r="Q589" s="4" t="s">
        <v>4</v>
      </c>
      <c r="R589" s="4" t="s">
        <v>4</v>
      </c>
      <c r="S589" s="4" t="s">
        <v>10</v>
      </c>
      <c r="T589" s="4"/>
      <c r="U589" s="4"/>
      <c r="V589" s="4"/>
      <c r="W589" s="4" t="s">
        <v>1963</v>
      </c>
      <c r="X589" s="4" t="s">
        <v>42</v>
      </c>
      <c r="Y589" s="4" t="s">
        <v>42</v>
      </c>
      <c r="Z589" s="4" t="s">
        <v>3046</v>
      </c>
      <c r="AA589" s="4" t="s">
        <v>3047</v>
      </c>
      <c r="AB589" s="4" t="s">
        <v>3048</v>
      </c>
      <c r="AC589" s="4" t="s">
        <v>3049</v>
      </c>
      <c r="AD589" s="4" t="s">
        <v>17</v>
      </c>
      <c r="AE589" s="4" t="s">
        <v>18</v>
      </c>
      <c r="AF589" s="4" t="s">
        <v>19</v>
      </c>
      <c r="AG589" s="4" t="s">
        <v>19</v>
      </c>
      <c r="AH589" s="4" t="s">
        <v>3048</v>
      </c>
    </row>
    <row r="590" spans="2:34" ht="15">
      <c r="B590" s="1" t="s">
        <v>153</v>
      </c>
      <c r="C590" s="2">
        <v>43815</v>
      </c>
      <c r="D590" s="1" t="s">
        <v>154</v>
      </c>
      <c r="E590" s="1" t="s">
        <v>3050</v>
      </c>
      <c r="F590" s="1" t="s">
        <v>3</v>
      </c>
      <c r="G590" s="1" t="s">
        <v>4</v>
      </c>
      <c r="H590" s="1" t="s">
        <v>632</v>
      </c>
      <c r="I590" s="2">
        <v>43812</v>
      </c>
      <c r="J590" s="3">
        <v>0.700324074074074</v>
      </c>
      <c r="K590" s="2">
        <v>43816</v>
      </c>
      <c r="L590" s="1" t="s">
        <v>2256</v>
      </c>
      <c r="M590" s="1"/>
      <c r="N590" s="1" t="s">
        <v>2353</v>
      </c>
      <c r="O590" s="1" t="s">
        <v>2309</v>
      </c>
      <c r="P590" s="1" t="s">
        <v>2426</v>
      </c>
      <c r="Q590" s="1" t="s">
        <v>4</v>
      </c>
      <c r="R590" s="1" t="s">
        <v>4</v>
      </c>
      <c r="S590" s="1" t="s">
        <v>10</v>
      </c>
      <c r="T590" s="1"/>
      <c r="U590" s="1"/>
      <c r="V590" s="1"/>
      <c r="W590" s="1" t="s">
        <v>2258</v>
      </c>
      <c r="X590" s="1" t="s">
        <v>3051</v>
      </c>
      <c r="Y590" s="1" t="s">
        <v>3051</v>
      </c>
      <c r="Z590" s="1" t="s">
        <v>3041</v>
      </c>
      <c r="AA590" s="1" t="s">
        <v>3052</v>
      </c>
      <c r="AB590" s="1" t="s">
        <v>3053</v>
      </c>
      <c r="AC590" s="1" t="s">
        <v>3054</v>
      </c>
      <c r="AD590" s="1" t="s">
        <v>17</v>
      </c>
      <c r="AE590" s="1" t="s">
        <v>17</v>
      </c>
      <c r="AF590" s="1" t="s">
        <v>19</v>
      </c>
      <c r="AG590" s="1" t="s">
        <v>19</v>
      </c>
      <c r="AH590" s="1" t="s">
        <v>3053</v>
      </c>
    </row>
    <row r="591" spans="2:34" ht="15">
      <c r="B591" s="4" t="s">
        <v>1518</v>
      </c>
      <c r="C591" s="5">
        <v>43816</v>
      </c>
      <c r="D591" s="4" t="s">
        <v>21</v>
      </c>
      <c r="E591" s="4" t="s">
        <v>3055</v>
      </c>
      <c r="F591" s="4" t="s">
        <v>3</v>
      </c>
      <c r="G591" s="4" t="s">
        <v>4</v>
      </c>
      <c r="H591" s="4" t="s">
        <v>2606</v>
      </c>
      <c r="I591" s="5">
        <v>43815</v>
      </c>
      <c r="J591" s="6">
        <v>0.5208333333333334</v>
      </c>
      <c r="K591" s="5">
        <v>43817</v>
      </c>
      <c r="L591" s="4" t="s">
        <v>2256</v>
      </c>
      <c r="M591" s="4"/>
      <c r="N591" s="4" t="s">
        <v>82</v>
      </c>
      <c r="O591" s="4" t="s">
        <v>83</v>
      </c>
      <c r="P591" s="4" t="s">
        <v>3056</v>
      </c>
      <c r="Q591" s="4" t="s">
        <v>4</v>
      </c>
      <c r="R591" s="4" t="s">
        <v>4</v>
      </c>
      <c r="S591" s="4" t="s">
        <v>10</v>
      </c>
      <c r="T591" s="4"/>
      <c r="U591" s="4"/>
      <c r="V591" s="4"/>
      <c r="W591" s="4" t="s">
        <v>1963</v>
      </c>
      <c r="X591" s="4" t="s">
        <v>3057</v>
      </c>
      <c r="Y591" s="4" t="s">
        <v>3057</v>
      </c>
      <c r="Z591" s="4" t="s">
        <v>3058</v>
      </c>
      <c r="AA591" s="4" t="s">
        <v>3059</v>
      </c>
      <c r="AB591" s="4" t="s">
        <v>3060</v>
      </c>
      <c r="AC591" s="4" t="s">
        <v>3061</v>
      </c>
      <c r="AD591" s="4" t="s">
        <v>17</v>
      </c>
      <c r="AE591" s="4" t="s">
        <v>18</v>
      </c>
      <c r="AF591" s="4" t="s">
        <v>19</v>
      </c>
      <c r="AG591" s="4" t="s">
        <v>19</v>
      </c>
      <c r="AH591" s="4" t="s">
        <v>3060</v>
      </c>
    </row>
    <row r="592" spans="2:34" ht="15">
      <c r="B592" s="1" t="s">
        <v>1518</v>
      </c>
      <c r="C592" s="2">
        <v>43817</v>
      </c>
      <c r="D592" s="1" t="s">
        <v>21</v>
      </c>
      <c r="E592" s="1" t="s">
        <v>3062</v>
      </c>
      <c r="F592" s="1" t="s">
        <v>3</v>
      </c>
      <c r="G592" s="1" t="s">
        <v>4</v>
      </c>
      <c r="H592" s="1" t="s">
        <v>632</v>
      </c>
      <c r="I592" s="2">
        <v>43817</v>
      </c>
      <c r="J592" s="3">
        <v>0.3166203703703704</v>
      </c>
      <c r="K592" s="2">
        <v>43819</v>
      </c>
      <c r="L592" s="1" t="s">
        <v>2256</v>
      </c>
      <c r="M592" s="1"/>
      <c r="N592" s="1" t="s">
        <v>876</v>
      </c>
      <c r="O592" s="1" t="s">
        <v>877</v>
      </c>
      <c r="P592" s="1" t="s">
        <v>2332</v>
      </c>
      <c r="Q592" s="1" t="s">
        <v>4</v>
      </c>
      <c r="R592" s="1" t="s">
        <v>4</v>
      </c>
      <c r="S592" s="1" t="s">
        <v>10</v>
      </c>
      <c r="T592" s="1"/>
      <c r="U592" s="1"/>
      <c r="V592" s="1"/>
      <c r="W592" s="1" t="s">
        <v>1963</v>
      </c>
      <c r="X592" s="1" t="s">
        <v>1059</v>
      </c>
      <c r="Y592" s="1" t="s">
        <v>1059</v>
      </c>
      <c r="Z592" s="1" t="s">
        <v>3063</v>
      </c>
      <c r="AA592" s="1" t="s">
        <v>107</v>
      </c>
      <c r="AB592" s="1" t="s">
        <v>3064</v>
      </c>
      <c r="AC592" s="1" t="s">
        <v>780</v>
      </c>
      <c r="AD592" s="1" t="s">
        <v>17</v>
      </c>
      <c r="AE592" s="1" t="s">
        <v>3065</v>
      </c>
      <c r="AF592" s="1" t="s">
        <v>19</v>
      </c>
      <c r="AG592" s="1" t="s">
        <v>19</v>
      </c>
      <c r="AH592" s="1" t="s">
        <v>3064</v>
      </c>
    </row>
    <row r="593" spans="2:34" ht="15">
      <c r="B593" s="4" t="s">
        <v>1518</v>
      </c>
      <c r="C593" s="5">
        <v>43818</v>
      </c>
      <c r="D593" s="4" t="s">
        <v>21</v>
      </c>
      <c r="E593" s="4" t="s">
        <v>3066</v>
      </c>
      <c r="F593" s="4" t="s">
        <v>3</v>
      </c>
      <c r="G593" s="4" t="s">
        <v>4</v>
      </c>
      <c r="H593" s="4" t="s">
        <v>632</v>
      </c>
      <c r="I593" s="5">
        <v>43817</v>
      </c>
      <c r="J593" s="6">
        <v>0.48561342592592593</v>
      </c>
      <c r="K593" s="5">
        <v>43819</v>
      </c>
      <c r="L593" s="4" t="s">
        <v>2256</v>
      </c>
      <c r="M593" s="4"/>
      <c r="N593" s="4" t="s">
        <v>977</v>
      </c>
      <c r="O593" s="4" t="s">
        <v>978</v>
      </c>
      <c r="P593" s="4" t="s">
        <v>2453</v>
      </c>
      <c r="Q593" s="4" t="s">
        <v>4</v>
      </c>
      <c r="R593" s="4" t="s">
        <v>4</v>
      </c>
      <c r="S593" s="4" t="s">
        <v>10</v>
      </c>
      <c r="T593" s="4"/>
      <c r="U593" s="4"/>
      <c r="V593" s="4"/>
      <c r="W593" s="4" t="s">
        <v>1963</v>
      </c>
      <c r="X593" s="4" t="s">
        <v>113</v>
      </c>
      <c r="Y593" s="4" t="s">
        <v>113</v>
      </c>
      <c r="Z593" s="4" t="s">
        <v>1776</v>
      </c>
      <c r="AA593" s="4" t="s">
        <v>3067</v>
      </c>
      <c r="AB593" s="4" t="s">
        <v>3068</v>
      </c>
      <c r="AC593" s="4" t="s">
        <v>3069</v>
      </c>
      <c r="AD593" s="4" t="s">
        <v>17</v>
      </c>
      <c r="AE593" s="4" t="s">
        <v>3070</v>
      </c>
      <c r="AF593" s="4" t="s">
        <v>19</v>
      </c>
      <c r="AG593" s="4" t="s">
        <v>19</v>
      </c>
      <c r="AH593" s="4" t="s">
        <v>3068</v>
      </c>
    </row>
    <row r="594" spans="2:34" ht="15">
      <c r="B594" s="1" t="s">
        <v>1518</v>
      </c>
      <c r="C594" s="2">
        <v>43818</v>
      </c>
      <c r="D594" s="1" t="s">
        <v>21</v>
      </c>
      <c r="E594" s="1" t="s">
        <v>3071</v>
      </c>
      <c r="F594" s="1" t="s">
        <v>3</v>
      </c>
      <c r="G594" s="1" t="s">
        <v>4</v>
      </c>
      <c r="H594" s="1" t="s">
        <v>632</v>
      </c>
      <c r="I594" s="2">
        <v>43817</v>
      </c>
      <c r="J594" s="3">
        <v>0.45902777777777776</v>
      </c>
      <c r="K594" s="2">
        <v>43819</v>
      </c>
      <c r="L594" s="1" t="s">
        <v>2256</v>
      </c>
      <c r="M594" s="1"/>
      <c r="N594" s="1" t="s">
        <v>2790</v>
      </c>
      <c r="O594" s="1" t="s">
        <v>2791</v>
      </c>
      <c r="P594" s="1" t="s">
        <v>2792</v>
      </c>
      <c r="Q594" s="1" t="s">
        <v>4</v>
      </c>
      <c r="R594" s="1" t="s">
        <v>4</v>
      </c>
      <c r="S594" s="1" t="s">
        <v>10</v>
      </c>
      <c r="T594" s="1"/>
      <c r="U594" s="1"/>
      <c r="V594" s="1"/>
      <c r="W594" s="1" t="s">
        <v>1963</v>
      </c>
      <c r="X594" s="1" t="s">
        <v>1025</v>
      </c>
      <c r="Y594" s="1" t="s">
        <v>1025</v>
      </c>
      <c r="Z594" s="1" t="s">
        <v>2144</v>
      </c>
      <c r="AA594" s="1" t="s">
        <v>3072</v>
      </c>
      <c r="AB594" s="1" t="s">
        <v>3073</v>
      </c>
      <c r="AC594" s="1" t="s">
        <v>3074</v>
      </c>
      <c r="AD594" s="1" t="s">
        <v>17</v>
      </c>
      <c r="AE594" s="1" t="s">
        <v>18</v>
      </c>
      <c r="AF594" s="1" t="s">
        <v>19</v>
      </c>
      <c r="AG594" s="1" t="s">
        <v>19</v>
      </c>
      <c r="AH594" s="1" t="s">
        <v>3073</v>
      </c>
    </row>
    <row r="595" spans="2:34" ht="15">
      <c r="B595" s="4" t="s">
        <v>1518</v>
      </c>
      <c r="C595" s="5">
        <v>43818</v>
      </c>
      <c r="D595" s="4" t="s">
        <v>21</v>
      </c>
      <c r="E595" s="4" t="s">
        <v>3075</v>
      </c>
      <c r="F595" s="4" t="s">
        <v>3</v>
      </c>
      <c r="G595" s="4" t="s">
        <v>4</v>
      </c>
      <c r="H595" s="4" t="s">
        <v>119</v>
      </c>
      <c r="I595" s="5">
        <v>43817</v>
      </c>
      <c r="J595" s="6">
        <v>0.517349537037037</v>
      </c>
      <c r="K595" s="5">
        <v>43819</v>
      </c>
      <c r="L595" s="4" t="s">
        <v>2256</v>
      </c>
      <c r="M595" s="4"/>
      <c r="N595" s="4" t="s">
        <v>977</v>
      </c>
      <c r="O595" s="4" t="s">
        <v>978</v>
      </c>
      <c r="P595" s="4" t="s">
        <v>2453</v>
      </c>
      <c r="Q595" s="4" t="s">
        <v>4</v>
      </c>
      <c r="R595" s="4" t="s">
        <v>4</v>
      </c>
      <c r="S595" s="4" t="s">
        <v>10</v>
      </c>
      <c r="T595" s="4"/>
      <c r="U595" s="4"/>
      <c r="V595" s="4"/>
      <c r="W595" s="4" t="s">
        <v>1963</v>
      </c>
      <c r="X595" s="4" t="s">
        <v>1178</v>
      </c>
      <c r="Y595" s="4" t="s">
        <v>1178</v>
      </c>
      <c r="Z595" s="4" t="s">
        <v>781</v>
      </c>
      <c r="AA595" s="4" t="s">
        <v>3076</v>
      </c>
      <c r="AB595" s="4" t="s">
        <v>3077</v>
      </c>
      <c r="AC595" s="4" t="s">
        <v>3078</v>
      </c>
      <c r="AD595" s="4" t="s">
        <v>17</v>
      </c>
      <c r="AE595" s="4" t="s">
        <v>3079</v>
      </c>
      <c r="AF595" s="4" t="s">
        <v>19</v>
      </c>
      <c r="AG595" s="4" t="s">
        <v>19</v>
      </c>
      <c r="AH595" s="4" t="s">
        <v>3077</v>
      </c>
    </row>
    <row r="596" spans="2:34" ht="15">
      <c r="B596" s="1" t="s">
        <v>1518</v>
      </c>
      <c r="C596" s="2">
        <v>43819</v>
      </c>
      <c r="D596" s="1" t="s">
        <v>21</v>
      </c>
      <c r="E596" s="1" t="s">
        <v>3080</v>
      </c>
      <c r="F596" s="1" t="s">
        <v>3</v>
      </c>
      <c r="G596" s="1" t="s">
        <v>4</v>
      </c>
      <c r="H596" s="1" t="s">
        <v>914</v>
      </c>
      <c r="I596" s="2">
        <v>43818</v>
      </c>
      <c r="J596" s="3">
        <v>0.7346759259259259</v>
      </c>
      <c r="K596" s="2">
        <v>43822</v>
      </c>
      <c r="L596" s="1" t="s">
        <v>2256</v>
      </c>
      <c r="M596" s="1"/>
      <c r="N596" s="1" t="s">
        <v>156</v>
      </c>
      <c r="O596" s="1" t="s">
        <v>157</v>
      </c>
      <c r="P596" s="1" t="s">
        <v>2325</v>
      </c>
      <c r="Q596" s="1" t="s">
        <v>4</v>
      </c>
      <c r="R596" s="1" t="s">
        <v>4</v>
      </c>
      <c r="S596" s="1" t="s">
        <v>10</v>
      </c>
      <c r="T596" s="1"/>
      <c r="U596" s="1"/>
      <c r="V596" s="1"/>
      <c r="W596" s="1" t="s">
        <v>1963</v>
      </c>
      <c r="X596" s="1" t="s">
        <v>1120</v>
      </c>
      <c r="Y596" s="1" t="s">
        <v>1120</v>
      </c>
      <c r="Z596" s="1" t="s">
        <v>3081</v>
      </c>
      <c r="AA596" s="1" t="s">
        <v>3082</v>
      </c>
      <c r="AB596" s="1" t="s">
        <v>3083</v>
      </c>
      <c r="AC596" s="1" t="s">
        <v>3084</v>
      </c>
      <c r="AD596" s="1" t="s">
        <v>17</v>
      </c>
      <c r="AE596" s="1" t="s">
        <v>18</v>
      </c>
      <c r="AF596" s="1" t="s">
        <v>19</v>
      </c>
      <c r="AG596" s="1" t="s">
        <v>19</v>
      </c>
      <c r="AH596" s="1" t="s">
        <v>3083</v>
      </c>
    </row>
    <row r="597" spans="2:34" ht="15">
      <c r="B597" s="4" t="s">
        <v>1518</v>
      </c>
      <c r="C597" s="5">
        <v>43819</v>
      </c>
      <c r="D597" s="4" t="s">
        <v>21</v>
      </c>
      <c r="E597" s="4" t="s">
        <v>3085</v>
      </c>
      <c r="F597" s="4" t="s">
        <v>3</v>
      </c>
      <c r="G597" s="4" t="s">
        <v>4</v>
      </c>
      <c r="H597" s="4" t="s">
        <v>2606</v>
      </c>
      <c r="I597" s="5">
        <v>43818</v>
      </c>
      <c r="J597" s="6">
        <v>0.6805555555555556</v>
      </c>
      <c r="K597" s="5">
        <v>43822</v>
      </c>
      <c r="L597" s="4" t="s">
        <v>2256</v>
      </c>
      <c r="M597" s="4"/>
      <c r="N597" s="4" t="s">
        <v>2790</v>
      </c>
      <c r="O597" s="4" t="s">
        <v>2791</v>
      </c>
      <c r="P597" s="4" t="s">
        <v>2792</v>
      </c>
      <c r="Q597" s="4" t="s">
        <v>4</v>
      </c>
      <c r="R597" s="4" t="s">
        <v>4</v>
      </c>
      <c r="S597" s="4" t="s">
        <v>10</v>
      </c>
      <c r="T597" s="4"/>
      <c r="U597" s="4"/>
      <c r="V597" s="4"/>
      <c r="W597" s="4" t="s">
        <v>1963</v>
      </c>
      <c r="X597" s="4" t="s">
        <v>3086</v>
      </c>
      <c r="Y597" s="4" t="s">
        <v>3086</v>
      </c>
      <c r="Z597" s="4" t="s">
        <v>2144</v>
      </c>
      <c r="AA597" s="4" t="s">
        <v>3087</v>
      </c>
      <c r="AB597" s="4" t="s">
        <v>3088</v>
      </c>
      <c r="AC597" s="4" t="s">
        <v>3089</v>
      </c>
      <c r="AD597" s="4" t="s">
        <v>17</v>
      </c>
      <c r="AE597" s="4" t="s">
        <v>18</v>
      </c>
      <c r="AF597" s="4" t="s">
        <v>19</v>
      </c>
      <c r="AG597" s="4" t="s">
        <v>19</v>
      </c>
      <c r="AH597" s="4" t="s">
        <v>3088</v>
      </c>
    </row>
    <row r="598" spans="2:34" ht="15">
      <c r="B598" s="1" t="s">
        <v>1518</v>
      </c>
      <c r="C598" s="2">
        <v>43819</v>
      </c>
      <c r="D598" s="1" t="s">
        <v>21</v>
      </c>
      <c r="E598" s="1" t="s">
        <v>3090</v>
      </c>
      <c r="F598" s="1" t="s">
        <v>3</v>
      </c>
      <c r="G598" s="1" t="s">
        <v>4</v>
      </c>
      <c r="H598" s="1" t="s">
        <v>325</v>
      </c>
      <c r="I598" s="2">
        <v>43818</v>
      </c>
      <c r="J598" s="3">
        <v>0.65625</v>
      </c>
      <c r="K598" s="2">
        <v>43822</v>
      </c>
      <c r="L598" s="1" t="s">
        <v>2256</v>
      </c>
      <c r="M598" s="1"/>
      <c r="N598" s="1" t="s">
        <v>223</v>
      </c>
      <c r="O598" s="1" t="s">
        <v>224</v>
      </c>
      <c r="P598" s="1" t="s">
        <v>2840</v>
      </c>
      <c r="Q598" s="1" t="s">
        <v>4</v>
      </c>
      <c r="R598" s="1" t="s">
        <v>4</v>
      </c>
      <c r="S598" s="1" t="s">
        <v>10</v>
      </c>
      <c r="T598" s="1"/>
      <c r="U598" s="1"/>
      <c r="V598" s="1"/>
      <c r="W598" s="1" t="s">
        <v>1963</v>
      </c>
      <c r="X598" s="1" t="s">
        <v>3091</v>
      </c>
      <c r="Y598" s="1" t="s">
        <v>3091</v>
      </c>
      <c r="Z598" s="1" t="s">
        <v>781</v>
      </c>
      <c r="AA598" s="1" t="s">
        <v>3092</v>
      </c>
      <c r="AB598" s="1" t="s">
        <v>3093</v>
      </c>
      <c r="AC598" s="1" t="s">
        <v>3094</v>
      </c>
      <c r="AD598" s="1" t="s">
        <v>17</v>
      </c>
      <c r="AE598" s="1" t="s">
        <v>3095</v>
      </c>
      <c r="AF598" s="1" t="s">
        <v>19</v>
      </c>
      <c r="AG598" s="1" t="s">
        <v>19</v>
      </c>
      <c r="AH598" s="1" t="s">
        <v>3093</v>
      </c>
    </row>
    <row r="599" spans="2:34" ht="15">
      <c r="B599" s="4" t="s">
        <v>1518</v>
      </c>
      <c r="C599" s="5">
        <v>43819</v>
      </c>
      <c r="D599" s="4" t="s">
        <v>21</v>
      </c>
      <c r="E599" s="4" t="s">
        <v>3096</v>
      </c>
      <c r="F599" s="4" t="s">
        <v>3</v>
      </c>
      <c r="G599" s="4" t="s">
        <v>4</v>
      </c>
      <c r="H599" s="4" t="s">
        <v>325</v>
      </c>
      <c r="I599" s="5">
        <v>43818</v>
      </c>
      <c r="J599" s="6">
        <v>0.5145833333333333</v>
      </c>
      <c r="K599" s="5">
        <v>43822</v>
      </c>
      <c r="L599" s="4" t="s">
        <v>2256</v>
      </c>
      <c r="M599" s="4"/>
      <c r="N599" s="4" t="s">
        <v>2920</v>
      </c>
      <c r="O599" s="4" t="s">
        <v>2921</v>
      </c>
      <c r="P599" s="4" t="s">
        <v>2922</v>
      </c>
      <c r="Q599" s="4" t="s">
        <v>4</v>
      </c>
      <c r="R599" s="4" t="s">
        <v>4</v>
      </c>
      <c r="S599" s="4" t="s">
        <v>10</v>
      </c>
      <c r="T599" s="4"/>
      <c r="U599" s="4"/>
      <c r="V599" s="4"/>
      <c r="W599" s="4" t="s">
        <v>1963</v>
      </c>
      <c r="X599" s="4" t="s">
        <v>3097</v>
      </c>
      <c r="Y599" s="4" t="s">
        <v>3097</v>
      </c>
      <c r="Z599" s="4" t="s">
        <v>3098</v>
      </c>
      <c r="AA599" s="4" t="s">
        <v>3099</v>
      </c>
      <c r="AB599" s="4" t="s">
        <v>3100</v>
      </c>
      <c r="AC599" s="4" t="s">
        <v>3101</v>
      </c>
      <c r="AD599" s="4" t="s">
        <v>17</v>
      </c>
      <c r="AE599" s="4" t="s">
        <v>18</v>
      </c>
      <c r="AF599" s="4" t="s">
        <v>19</v>
      </c>
      <c r="AG599" s="4" t="s">
        <v>19</v>
      </c>
      <c r="AH599" s="4" t="s">
        <v>3100</v>
      </c>
    </row>
    <row r="600" spans="2:34" ht="15">
      <c r="B600" s="1" t="s">
        <v>1518</v>
      </c>
      <c r="C600" s="2">
        <v>43819</v>
      </c>
      <c r="D600" s="1" t="s">
        <v>21</v>
      </c>
      <c r="E600" s="1" t="s">
        <v>3102</v>
      </c>
      <c r="F600" s="1" t="s">
        <v>3</v>
      </c>
      <c r="G600" s="1" t="s">
        <v>4</v>
      </c>
      <c r="H600" s="1" t="s">
        <v>109</v>
      </c>
      <c r="I600" s="2">
        <v>43818</v>
      </c>
      <c r="J600" s="3">
        <v>0.6277777777777778</v>
      </c>
      <c r="K600" s="2">
        <v>43822</v>
      </c>
      <c r="L600" s="1" t="s">
        <v>2256</v>
      </c>
      <c r="M600" s="1"/>
      <c r="N600" s="1" t="s">
        <v>1407</v>
      </c>
      <c r="O600" s="1" t="s">
        <v>1408</v>
      </c>
      <c r="P600" s="1" t="s">
        <v>3103</v>
      </c>
      <c r="Q600" s="1" t="s">
        <v>4</v>
      </c>
      <c r="R600" s="1" t="s">
        <v>4</v>
      </c>
      <c r="S600" s="1" t="s">
        <v>10</v>
      </c>
      <c r="T600" s="1"/>
      <c r="U600" s="1"/>
      <c r="V600" s="1"/>
      <c r="W600" s="1" t="s">
        <v>1963</v>
      </c>
      <c r="X600" s="1" t="s">
        <v>3104</v>
      </c>
      <c r="Y600" s="1" t="s">
        <v>3104</v>
      </c>
      <c r="Z600" s="1" t="s">
        <v>413</v>
      </c>
      <c r="AA600" s="1" t="s">
        <v>3105</v>
      </c>
      <c r="AB600" s="1" t="s">
        <v>3106</v>
      </c>
      <c r="AC600" s="1" t="s">
        <v>3107</v>
      </c>
      <c r="AD600" s="1" t="s">
        <v>17</v>
      </c>
      <c r="AE600" s="1" t="s">
        <v>18</v>
      </c>
      <c r="AF600" s="1" t="s">
        <v>19</v>
      </c>
      <c r="AG600" s="1" t="s">
        <v>19</v>
      </c>
      <c r="AH600" s="1" t="s">
        <v>3106</v>
      </c>
    </row>
    <row r="601" spans="2:34" ht="15">
      <c r="B601" s="4" t="s">
        <v>1524</v>
      </c>
      <c r="C601" s="5">
        <v>43819</v>
      </c>
      <c r="D601" s="4" t="s">
        <v>1</v>
      </c>
      <c r="E601" s="4" t="s">
        <v>3108</v>
      </c>
      <c r="F601" s="4" t="s">
        <v>3</v>
      </c>
      <c r="G601" s="4" t="s">
        <v>4</v>
      </c>
      <c r="H601" s="4" t="s">
        <v>23</v>
      </c>
      <c r="I601" s="5">
        <v>43818</v>
      </c>
      <c r="J601" s="6">
        <v>0.6490625</v>
      </c>
      <c r="K601" s="5">
        <v>43822</v>
      </c>
      <c r="L601" s="4" t="s">
        <v>2256</v>
      </c>
      <c r="M601" s="4"/>
      <c r="N601" s="4" t="s">
        <v>554</v>
      </c>
      <c r="O601" s="4" t="s">
        <v>555</v>
      </c>
      <c r="P601" s="4" t="s">
        <v>3109</v>
      </c>
      <c r="Q601" s="4" t="s">
        <v>4</v>
      </c>
      <c r="R601" s="4" t="s">
        <v>4</v>
      </c>
      <c r="S601" s="4" t="s">
        <v>10</v>
      </c>
      <c r="T601" s="4"/>
      <c r="U601" s="4"/>
      <c r="V601" s="4"/>
      <c r="W601" s="4" t="s">
        <v>1963</v>
      </c>
      <c r="X601" s="4" t="s">
        <v>3086</v>
      </c>
      <c r="Y601" s="4" t="s">
        <v>3086</v>
      </c>
      <c r="Z601" s="4" t="s">
        <v>3110</v>
      </c>
      <c r="AA601" s="4" t="s">
        <v>3111</v>
      </c>
      <c r="AB601" s="4" t="s">
        <v>3112</v>
      </c>
      <c r="AC601" s="4" t="s">
        <v>3113</v>
      </c>
      <c r="AD601" s="4" t="s">
        <v>17</v>
      </c>
      <c r="AE601" s="4" t="s">
        <v>18</v>
      </c>
      <c r="AF601" s="4" t="s">
        <v>19</v>
      </c>
      <c r="AG601" s="4" t="s">
        <v>19</v>
      </c>
      <c r="AH601" s="4" t="s">
        <v>3112</v>
      </c>
    </row>
    <row r="602" spans="2:34" ht="15">
      <c r="B602" s="1" t="s">
        <v>1524</v>
      </c>
      <c r="C602" s="2">
        <v>43819</v>
      </c>
      <c r="D602" s="1" t="s">
        <v>1</v>
      </c>
      <c r="E602" s="1" t="s">
        <v>3114</v>
      </c>
      <c r="F602" s="1" t="s">
        <v>3</v>
      </c>
      <c r="G602" s="1" t="s">
        <v>4</v>
      </c>
      <c r="H602" s="1" t="s">
        <v>109</v>
      </c>
      <c r="I602" s="2">
        <v>43818</v>
      </c>
      <c r="J602" s="3">
        <v>0.6277777777777778</v>
      </c>
      <c r="K602" s="2">
        <v>43822</v>
      </c>
      <c r="L602" s="1" t="s">
        <v>2256</v>
      </c>
      <c r="M602" s="1"/>
      <c r="N602" s="1" t="s">
        <v>1407</v>
      </c>
      <c r="O602" s="1" t="s">
        <v>1408</v>
      </c>
      <c r="P602" s="1" t="s">
        <v>3103</v>
      </c>
      <c r="Q602" s="1" t="s">
        <v>4</v>
      </c>
      <c r="R602" s="1" t="s">
        <v>4</v>
      </c>
      <c r="S602" s="1" t="s">
        <v>10</v>
      </c>
      <c r="T602" s="1"/>
      <c r="U602" s="1"/>
      <c r="V602" s="1"/>
      <c r="W602" s="1" t="s">
        <v>1963</v>
      </c>
      <c r="X602" s="1" t="s">
        <v>3115</v>
      </c>
      <c r="Y602" s="1" t="s">
        <v>3115</v>
      </c>
      <c r="Z602" s="1" t="s">
        <v>413</v>
      </c>
      <c r="AA602" s="1" t="s">
        <v>3116</v>
      </c>
      <c r="AB602" s="1" t="s">
        <v>3117</v>
      </c>
      <c r="AC602" s="1" t="s">
        <v>3118</v>
      </c>
      <c r="AD602" s="1" t="s">
        <v>17</v>
      </c>
      <c r="AE602" s="1" t="s">
        <v>18</v>
      </c>
      <c r="AF602" s="1" t="s">
        <v>19</v>
      </c>
      <c r="AG602" s="1" t="s">
        <v>19</v>
      </c>
      <c r="AH602" s="1" t="s">
        <v>3117</v>
      </c>
    </row>
    <row r="603" spans="2:34" ht="15">
      <c r="B603" s="4" t="s">
        <v>153</v>
      </c>
      <c r="C603" s="5">
        <v>43819</v>
      </c>
      <c r="D603" s="4" t="s">
        <v>154</v>
      </c>
      <c r="E603" s="4" t="s">
        <v>3119</v>
      </c>
      <c r="F603" s="4" t="s">
        <v>3</v>
      </c>
      <c r="G603" s="4" t="s">
        <v>4</v>
      </c>
      <c r="H603" s="4" t="s">
        <v>325</v>
      </c>
      <c r="I603" s="5">
        <v>43818</v>
      </c>
      <c r="J603" s="6">
        <v>0.65625</v>
      </c>
      <c r="K603" s="5">
        <v>43822</v>
      </c>
      <c r="L603" s="4" t="s">
        <v>2256</v>
      </c>
      <c r="M603" s="4"/>
      <c r="N603" s="4" t="s">
        <v>223</v>
      </c>
      <c r="O603" s="4" t="s">
        <v>224</v>
      </c>
      <c r="P603" s="4" t="s">
        <v>2840</v>
      </c>
      <c r="Q603" s="4" t="s">
        <v>4</v>
      </c>
      <c r="R603" s="4" t="s">
        <v>4</v>
      </c>
      <c r="S603" s="4" t="s">
        <v>10</v>
      </c>
      <c r="T603" s="4"/>
      <c r="U603" s="4"/>
      <c r="V603" s="4"/>
      <c r="W603" s="4" t="s">
        <v>1963</v>
      </c>
      <c r="X603" s="4" t="s">
        <v>3120</v>
      </c>
      <c r="Y603" s="4" t="s">
        <v>3120</v>
      </c>
      <c r="Z603" s="4" t="s">
        <v>781</v>
      </c>
      <c r="AA603" s="4" t="s">
        <v>3121</v>
      </c>
      <c r="AB603" s="4" t="s">
        <v>3122</v>
      </c>
      <c r="AC603" s="4" t="s">
        <v>3123</v>
      </c>
      <c r="AD603" s="4" t="s">
        <v>17</v>
      </c>
      <c r="AE603" s="4" t="s">
        <v>3124</v>
      </c>
      <c r="AF603" s="4" t="s">
        <v>19</v>
      </c>
      <c r="AG603" s="4" t="s">
        <v>19</v>
      </c>
      <c r="AH603" s="4" t="s">
        <v>3122</v>
      </c>
    </row>
    <row r="604" spans="2:34" ht="15">
      <c r="B604" s="1" t="s">
        <v>153</v>
      </c>
      <c r="C604" s="2">
        <v>43819</v>
      </c>
      <c r="D604" s="1" t="s">
        <v>154</v>
      </c>
      <c r="E604" s="1" t="s">
        <v>3125</v>
      </c>
      <c r="F604" s="1" t="s">
        <v>3</v>
      </c>
      <c r="G604" s="1" t="s">
        <v>4</v>
      </c>
      <c r="H604" s="1" t="s">
        <v>325</v>
      </c>
      <c r="I604" s="2">
        <v>43818</v>
      </c>
      <c r="J604" s="3">
        <v>0.5145833333333333</v>
      </c>
      <c r="K604" s="2">
        <v>43822</v>
      </c>
      <c r="L604" s="1" t="s">
        <v>2256</v>
      </c>
      <c r="M604" s="1"/>
      <c r="N604" s="1" t="s">
        <v>2920</v>
      </c>
      <c r="O604" s="1" t="s">
        <v>2921</v>
      </c>
      <c r="P604" s="1" t="s">
        <v>2922</v>
      </c>
      <c r="Q604" s="1" t="s">
        <v>4</v>
      </c>
      <c r="R604" s="1" t="s">
        <v>4</v>
      </c>
      <c r="S604" s="1" t="s">
        <v>10</v>
      </c>
      <c r="T604" s="1"/>
      <c r="U604" s="1"/>
      <c r="V604" s="1"/>
      <c r="W604" s="1" t="s">
        <v>1963</v>
      </c>
      <c r="X604" s="1" t="s">
        <v>3126</v>
      </c>
      <c r="Y604" s="1" t="s">
        <v>3126</v>
      </c>
      <c r="Z604" s="1" t="s">
        <v>3098</v>
      </c>
      <c r="AA604" s="1" t="s">
        <v>3127</v>
      </c>
      <c r="AB604" s="1" t="s">
        <v>3128</v>
      </c>
      <c r="AC604" s="1" t="s">
        <v>3129</v>
      </c>
      <c r="AD604" s="1" t="s">
        <v>17</v>
      </c>
      <c r="AE604" s="1" t="s">
        <v>18</v>
      </c>
      <c r="AF604" s="1" t="s">
        <v>19</v>
      </c>
      <c r="AG604" s="1" t="s">
        <v>19</v>
      </c>
      <c r="AH604" s="1" t="s">
        <v>3128</v>
      </c>
    </row>
    <row r="605" spans="2:34" ht="15">
      <c r="B605" s="4" t="s">
        <v>1518</v>
      </c>
      <c r="C605" s="5">
        <v>43822</v>
      </c>
      <c r="D605" s="4" t="s">
        <v>21</v>
      </c>
      <c r="E605" s="4" t="s">
        <v>3130</v>
      </c>
      <c r="F605" s="4" t="s">
        <v>3</v>
      </c>
      <c r="G605" s="4" t="s">
        <v>4</v>
      </c>
      <c r="H605" s="4" t="s">
        <v>632</v>
      </c>
      <c r="I605" s="5">
        <v>43819</v>
      </c>
      <c r="J605" s="6">
        <v>0.6847453703703704</v>
      </c>
      <c r="K605" s="5">
        <v>43823</v>
      </c>
      <c r="L605" s="4" t="s">
        <v>2256</v>
      </c>
      <c r="M605" s="4"/>
      <c r="N605" s="4" t="s">
        <v>174</v>
      </c>
      <c r="O605" s="4" t="s">
        <v>175</v>
      </c>
      <c r="P605" s="4" t="s">
        <v>2863</v>
      </c>
      <c r="Q605" s="4" t="s">
        <v>4</v>
      </c>
      <c r="R605" s="4" t="s">
        <v>4</v>
      </c>
      <c r="S605" s="4" t="s">
        <v>10</v>
      </c>
      <c r="T605" s="4"/>
      <c r="U605" s="4"/>
      <c r="V605" s="4"/>
      <c r="W605" s="4" t="s">
        <v>1963</v>
      </c>
      <c r="X605" s="4" t="s">
        <v>3131</v>
      </c>
      <c r="Y605" s="4" t="s">
        <v>3131</v>
      </c>
      <c r="Z605" s="4" t="s">
        <v>3132</v>
      </c>
      <c r="AA605" s="4" t="s">
        <v>3133</v>
      </c>
      <c r="AB605" s="4" t="s">
        <v>3134</v>
      </c>
      <c r="AC605" s="4" t="s">
        <v>3135</v>
      </c>
      <c r="AD605" s="4" t="s">
        <v>17</v>
      </c>
      <c r="AE605" s="4" t="s">
        <v>18</v>
      </c>
      <c r="AF605" s="4" t="s">
        <v>19</v>
      </c>
      <c r="AG605" s="4" t="s">
        <v>19</v>
      </c>
      <c r="AH605" s="4" t="s">
        <v>3134</v>
      </c>
    </row>
    <row r="606" spans="2:34" ht="15">
      <c r="B606" s="1" t="s">
        <v>1518</v>
      </c>
      <c r="C606" s="2">
        <v>43822</v>
      </c>
      <c r="D606" s="1" t="s">
        <v>21</v>
      </c>
      <c r="E606" s="1" t="s">
        <v>3136</v>
      </c>
      <c r="F606" s="1" t="s">
        <v>3</v>
      </c>
      <c r="G606" s="1" t="s">
        <v>4</v>
      </c>
      <c r="H606" s="1" t="s">
        <v>119</v>
      </c>
      <c r="I606" s="2">
        <v>43819</v>
      </c>
      <c r="J606" s="3">
        <v>0.6499305555555556</v>
      </c>
      <c r="K606" s="2">
        <v>43823</v>
      </c>
      <c r="L606" s="1" t="s">
        <v>2256</v>
      </c>
      <c r="M606" s="1"/>
      <c r="N606" s="1" t="s">
        <v>3008</v>
      </c>
      <c r="O606" s="1" t="s">
        <v>3009</v>
      </c>
      <c r="P606" s="1" t="s">
        <v>3010</v>
      </c>
      <c r="Q606" s="1" t="s">
        <v>4</v>
      </c>
      <c r="R606" s="1" t="s">
        <v>4</v>
      </c>
      <c r="S606" s="1" t="s">
        <v>10</v>
      </c>
      <c r="T606" s="1"/>
      <c r="U606" s="1"/>
      <c r="V606" s="1"/>
      <c r="W606" s="1" t="s">
        <v>1963</v>
      </c>
      <c r="X606" s="1" t="s">
        <v>2143</v>
      </c>
      <c r="Y606" s="1" t="s">
        <v>2143</v>
      </c>
      <c r="Z606" s="1" t="s">
        <v>2222</v>
      </c>
      <c r="AA606" s="1" t="s">
        <v>541</v>
      </c>
      <c r="AB606" s="1" t="s">
        <v>3137</v>
      </c>
      <c r="AC606" s="1" t="s">
        <v>720</v>
      </c>
      <c r="AD606" s="1" t="s">
        <v>17</v>
      </c>
      <c r="AE606" s="1" t="s">
        <v>18</v>
      </c>
      <c r="AF606" s="1" t="s">
        <v>19</v>
      </c>
      <c r="AG606" s="1" t="s">
        <v>19</v>
      </c>
      <c r="AH606" s="1" t="s">
        <v>3137</v>
      </c>
    </row>
    <row r="607" spans="2:34" ht="15">
      <c r="B607" s="4" t="s">
        <v>1518</v>
      </c>
      <c r="C607" s="5">
        <v>43822</v>
      </c>
      <c r="D607" s="4" t="s">
        <v>21</v>
      </c>
      <c r="E607" s="4" t="s">
        <v>3138</v>
      </c>
      <c r="F607" s="4" t="s">
        <v>3</v>
      </c>
      <c r="G607" s="4" t="s">
        <v>4</v>
      </c>
      <c r="H607" s="4" t="s">
        <v>325</v>
      </c>
      <c r="I607" s="5">
        <v>43819</v>
      </c>
      <c r="J607" s="6">
        <v>0.4791666666666667</v>
      </c>
      <c r="K607" s="5">
        <v>43823</v>
      </c>
      <c r="L607" s="4" t="s">
        <v>2256</v>
      </c>
      <c r="M607" s="4"/>
      <c r="N607" s="4" t="s">
        <v>316</v>
      </c>
      <c r="O607" s="4" t="s">
        <v>317</v>
      </c>
      <c r="P607" s="4" t="s">
        <v>2362</v>
      </c>
      <c r="Q607" s="4" t="s">
        <v>4</v>
      </c>
      <c r="R607" s="4" t="s">
        <v>4</v>
      </c>
      <c r="S607" s="4" t="s">
        <v>10</v>
      </c>
      <c r="T607" s="4"/>
      <c r="U607" s="4"/>
      <c r="V607" s="4"/>
      <c r="W607" s="4" t="s">
        <v>1963</v>
      </c>
      <c r="X607" s="4" t="s">
        <v>3139</v>
      </c>
      <c r="Y607" s="4" t="s">
        <v>3139</v>
      </c>
      <c r="Z607" s="4" t="s">
        <v>3140</v>
      </c>
      <c r="AA607" s="4" t="s">
        <v>3141</v>
      </c>
      <c r="AB607" s="4" t="s">
        <v>3142</v>
      </c>
      <c r="AC607" s="4" t="s">
        <v>3143</v>
      </c>
      <c r="AD607" s="4" t="s">
        <v>17</v>
      </c>
      <c r="AE607" s="4" t="s">
        <v>3144</v>
      </c>
      <c r="AF607" s="4" t="s">
        <v>19</v>
      </c>
      <c r="AG607" s="4" t="s">
        <v>19</v>
      </c>
      <c r="AH607" s="4" t="s">
        <v>3142</v>
      </c>
    </row>
    <row r="608" spans="2:34" ht="15">
      <c r="B608" s="1" t="s">
        <v>1518</v>
      </c>
      <c r="C608" s="2">
        <v>43822</v>
      </c>
      <c r="D608" s="1" t="s">
        <v>21</v>
      </c>
      <c r="E608" s="1" t="s">
        <v>3145</v>
      </c>
      <c r="F608" s="1" t="s">
        <v>3</v>
      </c>
      <c r="G608" s="1" t="s">
        <v>4</v>
      </c>
      <c r="H608" s="1" t="s">
        <v>2606</v>
      </c>
      <c r="I608" s="2">
        <v>43819</v>
      </c>
      <c r="J608" s="3">
        <v>0.6673611111111111</v>
      </c>
      <c r="K608" s="2">
        <v>43823</v>
      </c>
      <c r="L608" s="1" t="s">
        <v>2256</v>
      </c>
      <c r="M608" s="1"/>
      <c r="N608" s="1" t="s">
        <v>2790</v>
      </c>
      <c r="O608" s="1" t="s">
        <v>2791</v>
      </c>
      <c r="P608" s="1" t="s">
        <v>2792</v>
      </c>
      <c r="Q608" s="1" t="s">
        <v>4</v>
      </c>
      <c r="R608" s="1" t="s">
        <v>4</v>
      </c>
      <c r="S608" s="1" t="s">
        <v>10</v>
      </c>
      <c r="T608" s="1"/>
      <c r="U608" s="1"/>
      <c r="V608" s="1"/>
      <c r="W608" s="1" t="s">
        <v>1963</v>
      </c>
      <c r="X608" s="1" t="s">
        <v>917</v>
      </c>
      <c r="Y608" s="1" t="s">
        <v>917</v>
      </c>
      <c r="Z608" s="1" t="s">
        <v>2144</v>
      </c>
      <c r="AA608" s="1" t="s">
        <v>3146</v>
      </c>
      <c r="AB608" s="1" t="s">
        <v>3147</v>
      </c>
      <c r="AC608" s="1" t="s">
        <v>3148</v>
      </c>
      <c r="AD608" s="1" t="s">
        <v>17</v>
      </c>
      <c r="AE608" s="1" t="s">
        <v>18</v>
      </c>
      <c r="AF608" s="1" t="s">
        <v>19</v>
      </c>
      <c r="AG608" s="1" t="s">
        <v>19</v>
      </c>
      <c r="AH608" s="1" t="s">
        <v>3147</v>
      </c>
    </row>
    <row r="609" spans="2:34" ht="15">
      <c r="B609" s="4" t="s">
        <v>1518</v>
      </c>
      <c r="C609" s="5">
        <v>43822</v>
      </c>
      <c r="D609" s="4" t="s">
        <v>21</v>
      </c>
      <c r="E609" s="4" t="s">
        <v>3149</v>
      </c>
      <c r="F609" s="4" t="s">
        <v>3</v>
      </c>
      <c r="G609" s="4" t="s">
        <v>4</v>
      </c>
      <c r="H609" s="4" t="s">
        <v>632</v>
      </c>
      <c r="I609" s="5">
        <v>43819</v>
      </c>
      <c r="J609" s="6">
        <v>0.6858217592592593</v>
      </c>
      <c r="K609" s="5">
        <v>43823</v>
      </c>
      <c r="L609" s="4" t="s">
        <v>2256</v>
      </c>
      <c r="M609" s="4"/>
      <c r="N609" s="4" t="s">
        <v>2790</v>
      </c>
      <c r="O609" s="4" t="s">
        <v>2791</v>
      </c>
      <c r="P609" s="4" t="s">
        <v>2792</v>
      </c>
      <c r="Q609" s="4" t="s">
        <v>4</v>
      </c>
      <c r="R609" s="4" t="s">
        <v>4</v>
      </c>
      <c r="S609" s="4" t="s">
        <v>10</v>
      </c>
      <c r="T609" s="4"/>
      <c r="U609" s="4"/>
      <c r="V609" s="4"/>
      <c r="W609" s="4" t="s">
        <v>1963</v>
      </c>
      <c r="X609" s="4" t="s">
        <v>113</v>
      </c>
      <c r="Y609" s="4" t="s">
        <v>113</v>
      </c>
      <c r="Z609" s="4" t="s">
        <v>2144</v>
      </c>
      <c r="AA609" s="4" t="s">
        <v>959</v>
      </c>
      <c r="AB609" s="4" t="s">
        <v>3150</v>
      </c>
      <c r="AC609" s="4" t="s">
        <v>3151</v>
      </c>
      <c r="AD609" s="4" t="s">
        <v>17</v>
      </c>
      <c r="AE609" s="4" t="s">
        <v>17</v>
      </c>
      <c r="AF609" s="4" t="s">
        <v>19</v>
      </c>
      <c r="AG609" s="4" t="s">
        <v>19</v>
      </c>
      <c r="AH609" s="4" t="s">
        <v>3150</v>
      </c>
    </row>
    <row r="610" spans="2:34" ht="15">
      <c r="B610" s="1" t="s">
        <v>1518</v>
      </c>
      <c r="C610" s="2">
        <v>43822</v>
      </c>
      <c r="D610" s="1" t="s">
        <v>21</v>
      </c>
      <c r="E610" s="1" t="s">
        <v>3045</v>
      </c>
      <c r="F610" s="1" t="s">
        <v>3</v>
      </c>
      <c r="G610" s="1" t="s">
        <v>4</v>
      </c>
      <c r="H610" s="1" t="s">
        <v>183</v>
      </c>
      <c r="I610" s="2">
        <v>43819</v>
      </c>
      <c r="J610" s="3">
        <v>0.5247222222222222</v>
      </c>
      <c r="K610" s="2">
        <v>43823</v>
      </c>
      <c r="L610" s="1" t="s">
        <v>2256</v>
      </c>
      <c r="M610" s="1"/>
      <c r="N610" s="1" t="s">
        <v>1253</v>
      </c>
      <c r="O610" s="1" t="s">
        <v>1254</v>
      </c>
      <c r="P610" s="1" t="s">
        <v>2774</v>
      </c>
      <c r="Q610" s="1" t="s">
        <v>4</v>
      </c>
      <c r="R610" s="1" t="s">
        <v>4</v>
      </c>
      <c r="S610" s="1" t="s">
        <v>10</v>
      </c>
      <c r="T610" s="1"/>
      <c r="U610" s="1"/>
      <c r="V610" s="1"/>
      <c r="W610" s="1" t="s">
        <v>1963</v>
      </c>
      <c r="X610" s="1" t="s">
        <v>3152</v>
      </c>
      <c r="Y610" s="1" t="s">
        <v>3152</v>
      </c>
      <c r="Z610" s="1" t="s">
        <v>3153</v>
      </c>
      <c r="AA610" s="1" t="s">
        <v>3154</v>
      </c>
      <c r="AB610" s="1" t="s">
        <v>3155</v>
      </c>
      <c r="AC610" s="1" t="s">
        <v>3156</v>
      </c>
      <c r="AD610" s="1" t="s">
        <v>17</v>
      </c>
      <c r="AE610" s="1" t="s">
        <v>17</v>
      </c>
      <c r="AF610" s="1" t="s">
        <v>19</v>
      </c>
      <c r="AG610" s="1" t="s">
        <v>19</v>
      </c>
      <c r="AH610" s="1" t="s">
        <v>3155</v>
      </c>
    </row>
    <row r="611" spans="2:34" ht="15">
      <c r="B611" s="4" t="s">
        <v>1518</v>
      </c>
      <c r="C611" s="5">
        <v>43822</v>
      </c>
      <c r="D611" s="4" t="s">
        <v>21</v>
      </c>
      <c r="E611" s="4" t="s">
        <v>3157</v>
      </c>
      <c r="F611" s="4" t="s">
        <v>3</v>
      </c>
      <c r="G611" s="4" t="s">
        <v>4</v>
      </c>
      <c r="H611" s="4" t="s">
        <v>632</v>
      </c>
      <c r="I611" s="5">
        <v>43819</v>
      </c>
      <c r="J611" s="6">
        <v>0.6859259259259259</v>
      </c>
      <c r="K611" s="5">
        <v>43823</v>
      </c>
      <c r="L611" s="4" t="s">
        <v>2256</v>
      </c>
      <c r="M611" s="4"/>
      <c r="N611" s="4" t="s">
        <v>214</v>
      </c>
      <c r="O611" s="4" t="s">
        <v>215</v>
      </c>
      <c r="P611" s="4" t="s">
        <v>2960</v>
      </c>
      <c r="Q611" s="4" t="s">
        <v>4</v>
      </c>
      <c r="R611" s="4" t="s">
        <v>4</v>
      </c>
      <c r="S611" s="4" t="s">
        <v>10</v>
      </c>
      <c r="T611" s="4"/>
      <c r="U611" s="4"/>
      <c r="V611" s="4"/>
      <c r="W611" s="4" t="s">
        <v>1963</v>
      </c>
      <c r="X611" s="4" t="s">
        <v>3158</v>
      </c>
      <c r="Y611" s="4" t="s">
        <v>3158</v>
      </c>
      <c r="Z611" s="4" t="s">
        <v>3159</v>
      </c>
      <c r="AA611" s="4" t="s">
        <v>3160</v>
      </c>
      <c r="AB611" s="4" t="s">
        <v>3161</v>
      </c>
      <c r="AC611" s="4" t="s">
        <v>3162</v>
      </c>
      <c r="AD611" s="4" t="s">
        <v>17</v>
      </c>
      <c r="AE611" s="4" t="s">
        <v>3163</v>
      </c>
      <c r="AF611" s="4" t="s">
        <v>19</v>
      </c>
      <c r="AG611" s="4" t="s">
        <v>19</v>
      </c>
      <c r="AH611" s="4" t="s">
        <v>3161</v>
      </c>
    </row>
    <row r="612" spans="2:34" ht="15">
      <c r="B612" s="1" t="s">
        <v>1524</v>
      </c>
      <c r="C612" s="2">
        <v>43822</v>
      </c>
      <c r="D612" s="1" t="s">
        <v>1</v>
      </c>
      <c r="E612" s="1" t="s">
        <v>3164</v>
      </c>
      <c r="F612" s="1" t="s">
        <v>3</v>
      </c>
      <c r="G612" s="1" t="s">
        <v>4</v>
      </c>
      <c r="H612" s="1" t="s">
        <v>632</v>
      </c>
      <c r="I612" s="2">
        <v>43819</v>
      </c>
      <c r="J612" s="3">
        <v>0.6847453703703704</v>
      </c>
      <c r="K612" s="2">
        <v>43823</v>
      </c>
      <c r="L612" s="1" t="s">
        <v>2256</v>
      </c>
      <c r="M612" s="1"/>
      <c r="N612" s="1" t="s">
        <v>174</v>
      </c>
      <c r="O612" s="1" t="s">
        <v>175</v>
      </c>
      <c r="P612" s="1" t="s">
        <v>2863</v>
      </c>
      <c r="Q612" s="1" t="s">
        <v>4</v>
      </c>
      <c r="R612" s="1" t="s">
        <v>4</v>
      </c>
      <c r="S612" s="1" t="s">
        <v>10</v>
      </c>
      <c r="T612" s="1"/>
      <c r="U612" s="1"/>
      <c r="V612" s="1"/>
      <c r="W612" s="1" t="s">
        <v>1963</v>
      </c>
      <c r="X612" s="1" t="s">
        <v>2877</v>
      </c>
      <c r="Y612" s="1" t="s">
        <v>2877</v>
      </c>
      <c r="Z612" s="1" t="s">
        <v>3132</v>
      </c>
      <c r="AA612" s="1" t="s">
        <v>3165</v>
      </c>
      <c r="AB612" s="1" t="s">
        <v>3166</v>
      </c>
      <c r="AC612" s="1" t="s">
        <v>3167</v>
      </c>
      <c r="AD612" s="1" t="s">
        <v>17</v>
      </c>
      <c r="AE612" s="1" t="s">
        <v>18</v>
      </c>
      <c r="AF612" s="1" t="s">
        <v>19</v>
      </c>
      <c r="AG612" s="1" t="s">
        <v>19</v>
      </c>
      <c r="AH612" s="1" t="s">
        <v>3166</v>
      </c>
    </row>
    <row r="613" spans="2:34" ht="15">
      <c r="B613" s="4" t="s">
        <v>1518</v>
      </c>
      <c r="C613" s="5">
        <v>43823</v>
      </c>
      <c r="D613" s="4" t="s">
        <v>21</v>
      </c>
      <c r="E613" s="4" t="s">
        <v>3168</v>
      </c>
      <c r="F613" s="4" t="s">
        <v>3</v>
      </c>
      <c r="G613" s="4" t="s">
        <v>4</v>
      </c>
      <c r="H613" s="4" t="s">
        <v>325</v>
      </c>
      <c r="I613" s="5">
        <v>43822</v>
      </c>
      <c r="J613" s="6">
        <v>0.54375</v>
      </c>
      <c r="K613" s="5">
        <v>43826</v>
      </c>
      <c r="L613" s="4" t="s">
        <v>2256</v>
      </c>
      <c r="M613" s="4"/>
      <c r="N613" s="4" t="s">
        <v>1082</v>
      </c>
      <c r="O613" s="4" t="s">
        <v>1065</v>
      </c>
      <c r="P613" s="4" t="s">
        <v>2828</v>
      </c>
      <c r="Q613" s="4" t="s">
        <v>4</v>
      </c>
      <c r="R613" s="4" t="s">
        <v>4</v>
      </c>
      <c r="S613" s="4" t="s">
        <v>10</v>
      </c>
      <c r="T613" s="4"/>
      <c r="U613" s="4"/>
      <c r="V613" s="4"/>
      <c r="W613" s="4" t="s">
        <v>1963</v>
      </c>
      <c r="X613" s="4" t="s">
        <v>3169</v>
      </c>
      <c r="Y613" s="4" t="s">
        <v>3169</v>
      </c>
      <c r="Z613" s="4" t="s">
        <v>1498</v>
      </c>
      <c r="AA613" s="4" t="s">
        <v>3170</v>
      </c>
      <c r="AB613" s="4" t="s">
        <v>3171</v>
      </c>
      <c r="AC613" s="4" t="s">
        <v>3172</v>
      </c>
      <c r="AD613" s="4" t="s">
        <v>17</v>
      </c>
      <c r="AE613" s="4" t="s">
        <v>18</v>
      </c>
      <c r="AF613" s="4" t="s">
        <v>19</v>
      </c>
      <c r="AG613" s="4" t="s">
        <v>19</v>
      </c>
      <c r="AH613" s="4" t="s">
        <v>3171</v>
      </c>
    </row>
    <row r="614" spans="2:34" ht="15">
      <c r="B614" s="1" t="s">
        <v>1518</v>
      </c>
      <c r="C614" s="2">
        <v>43823</v>
      </c>
      <c r="D614" s="1" t="s">
        <v>21</v>
      </c>
      <c r="E614" s="1" t="s">
        <v>3173</v>
      </c>
      <c r="F614" s="1" t="s">
        <v>3</v>
      </c>
      <c r="G614" s="1" t="s">
        <v>4</v>
      </c>
      <c r="H614" s="1" t="s">
        <v>632</v>
      </c>
      <c r="I614" s="2">
        <v>43823</v>
      </c>
      <c r="J614" s="3">
        <v>0.3964814814814815</v>
      </c>
      <c r="K614" s="2">
        <v>43829</v>
      </c>
      <c r="L614" s="1" t="s">
        <v>2256</v>
      </c>
      <c r="M614" s="1"/>
      <c r="N614" s="1" t="s">
        <v>223</v>
      </c>
      <c r="O614" s="1" t="s">
        <v>224</v>
      </c>
      <c r="P614" s="1" t="s">
        <v>2840</v>
      </c>
      <c r="Q614" s="1" t="s">
        <v>4</v>
      </c>
      <c r="R614" s="1" t="s">
        <v>4</v>
      </c>
      <c r="S614" s="1" t="s">
        <v>10</v>
      </c>
      <c r="T614" s="1"/>
      <c r="U614" s="1"/>
      <c r="V614" s="1"/>
      <c r="W614" s="1" t="s">
        <v>1963</v>
      </c>
      <c r="X614" s="1" t="s">
        <v>1178</v>
      </c>
      <c r="Y614" s="1" t="s">
        <v>1178</v>
      </c>
      <c r="Z614" s="1" t="s">
        <v>839</v>
      </c>
      <c r="AA614" s="1" t="s">
        <v>1429</v>
      </c>
      <c r="AB614" s="1" t="s">
        <v>3174</v>
      </c>
      <c r="AC614" s="1" t="s">
        <v>3175</v>
      </c>
      <c r="AD614" s="1" t="s">
        <v>17</v>
      </c>
      <c r="AE614" s="1" t="s">
        <v>3176</v>
      </c>
      <c r="AF614" s="1" t="s">
        <v>19</v>
      </c>
      <c r="AG614" s="1" t="s">
        <v>19</v>
      </c>
      <c r="AH614" s="1" t="s">
        <v>3174</v>
      </c>
    </row>
    <row r="615" spans="2:34" ht="15">
      <c r="B615" s="4" t="s">
        <v>1518</v>
      </c>
      <c r="C615" s="5">
        <v>43823</v>
      </c>
      <c r="D615" s="4" t="s">
        <v>21</v>
      </c>
      <c r="E615" s="4" t="s">
        <v>3177</v>
      </c>
      <c r="F615" s="4" t="s">
        <v>3</v>
      </c>
      <c r="G615" s="4" t="s">
        <v>4</v>
      </c>
      <c r="H615" s="4" t="s">
        <v>119</v>
      </c>
      <c r="I615" s="5">
        <v>43823</v>
      </c>
      <c r="J615" s="6">
        <v>0.4312037037037037</v>
      </c>
      <c r="K615" s="5">
        <v>43829</v>
      </c>
      <c r="L615" s="4" t="s">
        <v>2256</v>
      </c>
      <c r="M615" s="4"/>
      <c r="N615" s="4" t="s">
        <v>467</v>
      </c>
      <c r="O615" s="4" t="s">
        <v>468</v>
      </c>
      <c r="P615" s="4" t="s">
        <v>3178</v>
      </c>
      <c r="Q615" s="4" t="s">
        <v>4</v>
      </c>
      <c r="R615" s="4" t="s">
        <v>4</v>
      </c>
      <c r="S615" s="4" t="s">
        <v>10</v>
      </c>
      <c r="T615" s="4"/>
      <c r="U615" s="4"/>
      <c r="V615" s="4"/>
      <c r="W615" s="4" t="s">
        <v>1963</v>
      </c>
      <c r="X615" s="4" t="s">
        <v>3179</v>
      </c>
      <c r="Y615" s="4" t="s">
        <v>3179</v>
      </c>
      <c r="Z615" s="4" t="s">
        <v>1169</v>
      </c>
      <c r="AA615" s="4" t="s">
        <v>3180</v>
      </c>
      <c r="AB615" s="4" t="s">
        <v>3181</v>
      </c>
      <c r="AC615" s="4" t="s">
        <v>3182</v>
      </c>
      <c r="AD615" s="4" t="s">
        <v>17</v>
      </c>
      <c r="AE615" s="4" t="s">
        <v>18</v>
      </c>
      <c r="AF615" s="4" t="s">
        <v>19</v>
      </c>
      <c r="AG615" s="4" t="s">
        <v>19</v>
      </c>
      <c r="AH615" s="4" t="s">
        <v>3181</v>
      </c>
    </row>
    <row r="616" spans="2:34" ht="15">
      <c r="B616" s="1" t="s">
        <v>1518</v>
      </c>
      <c r="C616" s="2">
        <v>43823</v>
      </c>
      <c r="D616" s="1" t="s">
        <v>21</v>
      </c>
      <c r="E616" s="1" t="s">
        <v>3183</v>
      </c>
      <c r="F616" s="1" t="s">
        <v>3</v>
      </c>
      <c r="G616" s="1" t="s">
        <v>4</v>
      </c>
      <c r="H616" s="1" t="s">
        <v>632</v>
      </c>
      <c r="I616" s="2">
        <v>43822</v>
      </c>
      <c r="J616" s="3">
        <v>0.7003125</v>
      </c>
      <c r="K616" s="2">
        <v>43826</v>
      </c>
      <c r="L616" s="1" t="s">
        <v>2256</v>
      </c>
      <c r="M616" s="1"/>
      <c r="N616" s="1" t="s">
        <v>174</v>
      </c>
      <c r="O616" s="1" t="s">
        <v>175</v>
      </c>
      <c r="P616" s="1" t="s">
        <v>2863</v>
      </c>
      <c r="Q616" s="1" t="s">
        <v>4</v>
      </c>
      <c r="R616" s="1" t="s">
        <v>4</v>
      </c>
      <c r="S616" s="1" t="s">
        <v>10</v>
      </c>
      <c r="T616" s="1"/>
      <c r="U616" s="1"/>
      <c r="V616" s="1"/>
      <c r="W616" s="1" t="s">
        <v>1963</v>
      </c>
      <c r="X616" s="1" t="s">
        <v>3184</v>
      </c>
      <c r="Y616" s="1" t="s">
        <v>3184</v>
      </c>
      <c r="Z616" s="1" t="s">
        <v>3185</v>
      </c>
      <c r="AA616" s="1" t="s">
        <v>3186</v>
      </c>
      <c r="AB616" s="1" t="s">
        <v>3187</v>
      </c>
      <c r="AC616" s="1" t="s">
        <v>3188</v>
      </c>
      <c r="AD616" s="1" t="s">
        <v>17</v>
      </c>
      <c r="AE616" s="1" t="s">
        <v>18</v>
      </c>
      <c r="AF616" s="1" t="s">
        <v>19</v>
      </c>
      <c r="AG616" s="1" t="s">
        <v>19</v>
      </c>
      <c r="AH616" s="1" t="s">
        <v>3187</v>
      </c>
    </row>
    <row r="617" spans="2:34" ht="15">
      <c r="B617" s="4" t="s">
        <v>1524</v>
      </c>
      <c r="C617" s="5">
        <v>43823</v>
      </c>
      <c r="D617" s="4" t="s">
        <v>1</v>
      </c>
      <c r="E617" s="4" t="s">
        <v>3189</v>
      </c>
      <c r="F617" s="4" t="s">
        <v>3</v>
      </c>
      <c r="G617" s="4" t="s">
        <v>4</v>
      </c>
      <c r="H617" s="4" t="s">
        <v>119</v>
      </c>
      <c r="I617" s="5">
        <v>43823</v>
      </c>
      <c r="J617" s="6">
        <v>0.4312037037037037</v>
      </c>
      <c r="K617" s="5">
        <v>43829</v>
      </c>
      <c r="L617" s="4" t="s">
        <v>2256</v>
      </c>
      <c r="M617" s="4"/>
      <c r="N617" s="4" t="s">
        <v>467</v>
      </c>
      <c r="O617" s="4" t="s">
        <v>468</v>
      </c>
      <c r="P617" s="4" t="s">
        <v>3178</v>
      </c>
      <c r="Q617" s="4" t="s">
        <v>4</v>
      </c>
      <c r="R617" s="4" t="s">
        <v>4</v>
      </c>
      <c r="S617" s="4" t="s">
        <v>10</v>
      </c>
      <c r="T617" s="4"/>
      <c r="U617" s="4"/>
      <c r="V617" s="4"/>
      <c r="W617" s="4" t="s">
        <v>1963</v>
      </c>
      <c r="X617" s="4" t="s">
        <v>3190</v>
      </c>
      <c r="Y617" s="4" t="s">
        <v>3190</v>
      </c>
      <c r="Z617" s="4" t="s">
        <v>1169</v>
      </c>
      <c r="AA617" s="4" t="s">
        <v>3191</v>
      </c>
      <c r="AB617" s="4" t="s">
        <v>3192</v>
      </c>
      <c r="AC617" s="4" t="s">
        <v>3193</v>
      </c>
      <c r="AD617" s="4" t="s">
        <v>17</v>
      </c>
      <c r="AE617" s="4" t="s">
        <v>18</v>
      </c>
      <c r="AF617" s="4" t="s">
        <v>19</v>
      </c>
      <c r="AG617" s="4" t="s">
        <v>19</v>
      </c>
      <c r="AH617" s="4" t="s">
        <v>3192</v>
      </c>
    </row>
    <row r="618" spans="2:34" ht="15">
      <c r="B618" s="1" t="s">
        <v>1524</v>
      </c>
      <c r="C618" s="2">
        <v>43823</v>
      </c>
      <c r="D618" s="1" t="s">
        <v>1</v>
      </c>
      <c r="E618" s="1" t="s">
        <v>3194</v>
      </c>
      <c r="F618" s="1" t="s">
        <v>3</v>
      </c>
      <c r="G618" s="1" t="s">
        <v>4</v>
      </c>
      <c r="H618" s="1" t="s">
        <v>632</v>
      </c>
      <c r="I618" s="2">
        <v>43822</v>
      </c>
      <c r="J618" s="3">
        <v>0.7003125</v>
      </c>
      <c r="K618" s="2">
        <v>43826</v>
      </c>
      <c r="L618" s="1" t="s">
        <v>2256</v>
      </c>
      <c r="M618" s="1"/>
      <c r="N618" s="1" t="s">
        <v>174</v>
      </c>
      <c r="O618" s="1" t="s">
        <v>175</v>
      </c>
      <c r="P618" s="1" t="s">
        <v>2863</v>
      </c>
      <c r="Q618" s="1" t="s">
        <v>4</v>
      </c>
      <c r="R618" s="1" t="s">
        <v>4</v>
      </c>
      <c r="S618" s="1" t="s">
        <v>10</v>
      </c>
      <c r="T618" s="1"/>
      <c r="U618" s="1"/>
      <c r="V618" s="1"/>
      <c r="W618" s="1" t="s">
        <v>1963</v>
      </c>
      <c r="X618" s="1" t="s">
        <v>3195</v>
      </c>
      <c r="Y618" s="1" t="s">
        <v>3195</v>
      </c>
      <c r="Z618" s="1" t="s">
        <v>3185</v>
      </c>
      <c r="AA618" s="1" t="s">
        <v>3196</v>
      </c>
      <c r="AB618" s="1" t="s">
        <v>3197</v>
      </c>
      <c r="AC618" s="1" t="s">
        <v>3198</v>
      </c>
      <c r="AD618" s="1" t="s">
        <v>17</v>
      </c>
      <c r="AE618" s="1" t="s">
        <v>18</v>
      </c>
      <c r="AF618" s="1" t="s">
        <v>19</v>
      </c>
      <c r="AG618" s="1" t="s">
        <v>19</v>
      </c>
      <c r="AH618" s="1" t="s">
        <v>3197</v>
      </c>
    </row>
    <row r="619" spans="2:34" ht="15">
      <c r="B619" s="4" t="s">
        <v>153</v>
      </c>
      <c r="C619" s="5">
        <v>43823</v>
      </c>
      <c r="D619" s="4" t="s">
        <v>154</v>
      </c>
      <c r="E619" s="4" t="s">
        <v>3199</v>
      </c>
      <c r="F619" s="4" t="s">
        <v>3</v>
      </c>
      <c r="G619" s="4" t="s">
        <v>4</v>
      </c>
      <c r="H619" s="4" t="s">
        <v>325</v>
      </c>
      <c r="I619" s="5">
        <v>43822</v>
      </c>
      <c r="J619" s="6">
        <v>0.54375</v>
      </c>
      <c r="K619" s="5">
        <v>43826</v>
      </c>
      <c r="L619" s="4" t="s">
        <v>2256</v>
      </c>
      <c r="M619" s="4"/>
      <c r="N619" s="4" t="s">
        <v>1082</v>
      </c>
      <c r="O619" s="4" t="s">
        <v>1065</v>
      </c>
      <c r="P619" s="4" t="s">
        <v>2828</v>
      </c>
      <c r="Q619" s="4" t="s">
        <v>4</v>
      </c>
      <c r="R619" s="4" t="s">
        <v>4</v>
      </c>
      <c r="S619" s="4" t="s">
        <v>10</v>
      </c>
      <c r="T619" s="4"/>
      <c r="U619" s="4"/>
      <c r="V619" s="4"/>
      <c r="W619" s="4" t="s">
        <v>1963</v>
      </c>
      <c r="X619" s="4" t="s">
        <v>3200</v>
      </c>
      <c r="Y619" s="4" t="s">
        <v>3200</v>
      </c>
      <c r="Z619" s="4" t="s">
        <v>1498</v>
      </c>
      <c r="AA619" s="4" t="s">
        <v>3201</v>
      </c>
      <c r="AB619" s="4" t="s">
        <v>3202</v>
      </c>
      <c r="AC619" s="4" t="s">
        <v>3203</v>
      </c>
      <c r="AD619" s="4" t="s">
        <v>17</v>
      </c>
      <c r="AE619" s="4" t="s">
        <v>18</v>
      </c>
      <c r="AF619" s="4" t="s">
        <v>19</v>
      </c>
      <c r="AG619" s="4" t="s">
        <v>19</v>
      </c>
      <c r="AH619" s="4" t="s">
        <v>3202</v>
      </c>
    </row>
    <row r="620" spans="2:34" ht="15">
      <c r="B620" s="1" t="s">
        <v>1524</v>
      </c>
      <c r="C620" s="2">
        <v>43826</v>
      </c>
      <c r="D620" s="1" t="s">
        <v>1</v>
      </c>
      <c r="E620" s="1" t="s">
        <v>3204</v>
      </c>
      <c r="F620" s="1" t="s">
        <v>3</v>
      </c>
      <c r="G620" s="1" t="s">
        <v>4</v>
      </c>
      <c r="H620" s="1" t="s">
        <v>2331</v>
      </c>
      <c r="I620" s="2">
        <v>43823</v>
      </c>
      <c r="J620" s="3">
        <v>0.5800462962962963</v>
      </c>
      <c r="K620" s="2">
        <v>43829</v>
      </c>
      <c r="L620" s="1" t="s">
        <v>2256</v>
      </c>
      <c r="M620" s="1"/>
      <c r="N620" s="1" t="s">
        <v>3205</v>
      </c>
      <c r="O620" s="1" t="s">
        <v>3206</v>
      </c>
      <c r="P620" s="1" t="s">
        <v>3207</v>
      </c>
      <c r="Q620" s="1" t="s">
        <v>4</v>
      </c>
      <c r="R620" s="1" t="s">
        <v>4</v>
      </c>
      <c r="S620" s="1" t="s">
        <v>4</v>
      </c>
      <c r="T620" s="1"/>
      <c r="U620" s="1"/>
      <c r="V620" s="1"/>
      <c r="W620" s="1" t="s">
        <v>1963</v>
      </c>
      <c r="X620" s="1" t="s">
        <v>1031</v>
      </c>
      <c r="Y620" s="1" t="s">
        <v>1031</v>
      </c>
      <c r="Z620" s="1" t="s">
        <v>3208</v>
      </c>
      <c r="AA620" s="1" t="s">
        <v>3209</v>
      </c>
      <c r="AB620" s="1" t="s">
        <v>3210</v>
      </c>
      <c r="AC620" s="1" t="s">
        <v>3211</v>
      </c>
      <c r="AD620" s="1" t="s">
        <v>17</v>
      </c>
      <c r="AE620" s="1" t="s">
        <v>3212</v>
      </c>
      <c r="AF620" s="1" t="s">
        <v>19</v>
      </c>
      <c r="AG620" s="1" t="s">
        <v>19</v>
      </c>
      <c r="AH620" s="1" t="s">
        <v>3210</v>
      </c>
    </row>
    <row r="621" spans="2:34" ht="15">
      <c r="B621" s="4" t="s">
        <v>1524</v>
      </c>
      <c r="C621" s="5">
        <v>43826</v>
      </c>
      <c r="D621" s="4" t="s">
        <v>1</v>
      </c>
      <c r="E621" s="4" t="s">
        <v>3213</v>
      </c>
      <c r="F621" s="4" t="s">
        <v>3</v>
      </c>
      <c r="G621" s="4" t="s">
        <v>4</v>
      </c>
      <c r="H621" s="4" t="s">
        <v>2331</v>
      </c>
      <c r="I621" s="5">
        <v>43823</v>
      </c>
      <c r="J621" s="6">
        <v>0.5237731481481481</v>
      </c>
      <c r="K621" s="5">
        <v>43829</v>
      </c>
      <c r="L621" s="4" t="s">
        <v>2256</v>
      </c>
      <c r="M621" s="4"/>
      <c r="N621" s="4" t="s">
        <v>174</v>
      </c>
      <c r="O621" s="4" t="s">
        <v>175</v>
      </c>
      <c r="P621" s="4" t="s">
        <v>2863</v>
      </c>
      <c r="Q621" s="4" t="s">
        <v>4</v>
      </c>
      <c r="R621" s="4" t="s">
        <v>4</v>
      </c>
      <c r="S621" s="4" t="s">
        <v>4</v>
      </c>
      <c r="T621" s="4"/>
      <c r="U621" s="4"/>
      <c r="V621" s="4"/>
      <c r="W621" s="4" t="s">
        <v>1963</v>
      </c>
      <c r="X621" s="4" t="s">
        <v>3214</v>
      </c>
      <c r="Y621" s="4" t="s">
        <v>3214</v>
      </c>
      <c r="Z621" s="4" t="s">
        <v>3215</v>
      </c>
      <c r="AA621" s="4" t="s">
        <v>3216</v>
      </c>
      <c r="AB621" s="4" t="s">
        <v>3217</v>
      </c>
      <c r="AC621" s="4" t="s">
        <v>3218</v>
      </c>
      <c r="AD621" s="4" t="s">
        <v>17</v>
      </c>
      <c r="AE621" s="4" t="s">
        <v>18</v>
      </c>
      <c r="AF621" s="4" t="s">
        <v>19</v>
      </c>
      <c r="AG621" s="4" t="s">
        <v>19</v>
      </c>
      <c r="AH621" s="4" t="s">
        <v>3217</v>
      </c>
    </row>
    <row r="622" spans="2:34" ht="15">
      <c r="B622" s="1" t="s">
        <v>1518</v>
      </c>
      <c r="C622" s="2">
        <v>43826</v>
      </c>
      <c r="D622" s="1" t="s">
        <v>21</v>
      </c>
      <c r="E622" s="1" t="s">
        <v>3219</v>
      </c>
      <c r="F622" s="1" t="s">
        <v>3</v>
      </c>
      <c r="G622" s="1" t="s">
        <v>4</v>
      </c>
      <c r="H622" s="1" t="s">
        <v>2331</v>
      </c>
      <c r="I622" s="2">
        <v>43823</v>
      </c>
      <c r="J622" s="3">
        <v>0.5237731481481481</v>
      </c>
      <c r="K622" s="2">
        <v>43829</v>
      </c>
      <c r="L622" s="1" t="s">
        <v>2256</v>
      </c>
      <c r="M622" s="1"/>
      <c r="N622" s="1" t="s">
        <v>174</v>
      </c>
      <c r="O622" s="1" t="s">
        <v>175</v>
      </c>
      <c r="P622" s="1" t="s">
        <v>2863</v>
      </c>
      <c r="Q622" s="1" t="s">
        <v>4</v>
      </c>
      <c r="R622" s="1" t="s">
        <v>4</v>
      </c>
      <c r="S622" s="1" t="s">
        <v>4</v>
      </c>
      <c r="T622" s="1"/>
      <c r="U622" s="1"/>
      <c r="V622" s="1"/>
      <c r="W622" s="1" t="s">
        <v>1963</v>
      </c>
      <c r="X622" s="1" t="s">
        <v>3220</v>
      </c>
      <c r="Y622" s="1" t="s">
        <v>3220</v>
      </c>
      <c r="Z622" s="1" t="s">
        <v>3215</v>
      </c>
      <c r="AA622" s="1" t="s">
        <v>3221</v>
      </c>
      <c r="AB622" s="1" t="s">
        <v>3222</v>
      </c>
      <c r="AC622" s="1" t="s">
        <v>3223</v>
      </c>
      <c r="AD622" s="1" t="s">
        <v>17</v>
      </c>
      <c r="AE622" s="1" t="s">
        <v>18</v>
      </c>
      <c r="AF622" s="1" t="s">
        <v>19</v>
      </c>
      <c r="AG622" s="1" t="s">
        <v>19</v>
      </c>
      <c r="AH622" s="1" t="s">
        <v>3222</v>
      </c>
    </row>
    <row r="623" spans="2:34" ht="15">
      <c r="B623" s="4" t="s">
        <v>1518</v>
      </c>
      <c r="C623" s="5">
        <v>43826</v>
      </c>
      <c r="D623" s="4" t="s">
        <v>21</v>
      </c>
      <c r="E623" s="4" t="s">
        <v>3224</v>
      </c>
      <c r="F623" s="4" t="s">
        <v>3</v>
      </c>
      <c r="G623" s="4" t="s">
        <v>4</v>
      </c>
      <c r="H623" s="4" t="s">
        <v>2331</v>
      </c>
      <c r="I623" s="5">
        <v>43823</v>
      </c>
      <c r="J623" s="6">
        <v>0.5207638888888889</v>
      </c>
      <c r="K623" s="5">
        <v>43829</v>
      </c>
      <c r="L623" s="4" t="s">
        <v>2256</v>
      </c>
      <c r="M623" s="4"/>
      <c r="N623" s="4" t="s">
        <v>977</v>
      </c>
      <c r="O623" s="4" t="s">
        <v>978</v>
      </c>
      <c r="P623" s="4" t="s">
        <v>2453</v>
      </c>
      <c r="Q623" s="4" t="s">
        <v>4</v>
      </c>
      <c r="R623" s="4" t="s">
        <v>4</v>
      </c>
      <c r="S623" s="4" t="s">
        <v>4</v>
      </c>
      <c r="T623" s="4"/>
      <c r="U623" s="4"/>
      <c r="V623" s="4"/>
      <c r="W623" s="4" t="s">
        <v>1963</v>
      </c>
      <c r="X623" s="4" t="s">
        <v>1178</v>
      </c>
      <c r="Y623" s="4" t="s">
        <v>1178</v>
      </c>
      <c r="Z623" s="4" t="s">
        <v>3225</v>
      </c>
      <c r="AA623" s="4" t="s">
        <v>3226</v>
      </c>
      <c r="AB623" s="4" t="s">
        <v>3227</v>
      </c>
      <c r="AC623" s="4" t="s">
        <v>3228</v>
      </c>
      <c r="AD623" s="4" t="s">
        <v>17</v>
      </c>
      <c r="AE623" s="4" t="s">
        <v>3229</v>
      </c>
      <c r="AF623" s="4" t="s">
        <v>19</v>
      </c>
      <c r="AG623" s="4" t="s">
        <v>19</v>
      </c>
      <c r="AH623" s="4" t="s">
        <v>3227</v>
      </c>
    </row>
    <row r="624" spans="2:34" ht="15">
      <c r="B624" s="1" t="s">
        <v>1518</v>
      </c>
      <c r="C624" s="2">
        <v>43826</v>
      </c>
      <c r="D624" s="1" t="s">
        <v>21</v>
      </c>
      <c r="E624" s="1" t="s">
        <v>3230</v>
      </c>
      <c r="F624" s="1" t="s">
        <v>3</v>
      </c>
      <c r="G624" s="1" t="s">
        <v>4</v>
      </c>
      <c r="H624" s="1" t="s">
        <v>2331</v>
      </c>
      <c r="I624" s="2">
        <v>43823</v>
      </c>
      <c r="J624" s="3">
        <v>0.5230555555555556</v>
      </c>
      <c r="K624" s="2">
        <v>43829</v>
      </c>
      <c r="L624" s="1" t="s">
        <v>2256</v>
      </c>
      <c r="M624" s="1"/>
      <c r="N624" s="1" t="s">
        <v>2790</v>
      </c>
      <c r="O624" s="1" t="s">
        <v>2791</v>
      </c>
      <c r="P624" s="1" t="s">
        <v>2792</v>
      </c>
      <c r="Q624" s="1" t="s">
        <v>4</v>
      </c>
      <c r="R624" s="1" t="s">
        <v>4</v>
      </c>
      <c r="S624" s="1" t="s">
        <v>4</v>
      </c>
      <c r="T624" s="1"/>
      <c r="U624" s="1"/>
      <c r="V624" s="1"/>
      <c r="W624" s="1" t="s">
        <v>1963</v>
      </c>
      <c r="X624" s="1" t="s">
        <v>113</v>
      </c>
      <c r="Y624" s="1" t="s">
        <v>113</v>
      </c>
      <c r="Z624" s="1" t="s">
        <v>2144</v>
      </c>
      <c r="AA624" s="1" t="s">
        <v>959</v>
      </c>
      <c r="AB624" s="1" t="s">
        <v>3150</v>
      </c>
      <c r="AC624" s="1" t="s">
        <v>3151</v>
      </c>
      <c r="AD624" s="1" t="s">
        <v>17</v>
      </c>
      <c r="AE624" s="1" t="s">
        <v>17</v>
      </c>
      <c r="AF624" s="1" t="s">
        <v>19</v>
      </c>
      <c r="AG624" s="1" t="s">
        <v>19</v>
      </c>
      <c r="AH624" s="1" t="s">
        <v>3150</v>
      </c>
    </row>
    <row r="625" spans="2:34" ht="15">
      <c r="B625" s="4" t="s">
        <v>1518</v>
      </c>
      <c r="C625" s="5">
        <v>43826</v>
      </c>
      <c r="D625" s="4" t="s">
        <v>21</v>
      </c>
      <c r="E625" s="4" t="s">
        <v>3231</v>
      </c>
      <c r="F625" s="4" t="s">
        <v>3</v>
      </c>
      <c r="G625" s="4" t="s">
        <v>4</v>
      </c>
      <c r="H625" s="4" t="s">
        <v>2331</v>
      </c>
      <c r="I625" s="5">
        <v>43823</v>
      </c>
      <c r="J625" s="6">
        <v>0.5174189814814815</v>
      </c>
      <c r="K625" s="5">
        <v>43829</v>
      </c>
      <c r="L625" s="4" t="s">
        <v>2256</v>
      </c>
      <c r="M625" s="4"/>
      <c r="N625" s="4" t="s">
        <v>214</v>
      </c>
      <c r="O625" s="4" t="s">
        <v>215</v>
      </c>
      <c r="P625" s="4" t="s">
        <v>2960</v>
      </c>
      <c r="Q625" s="4" t="s">
        <v>4</v>
      </c>
      <c r="R625" s="4" t="s">
        <v>4</v>
      </c>
      <c r="S625" s="4" t="s">
        <v>4</v>
      </c>
      <c r="T625" s="4"/>
      <c r="U625" s="4"/>
      <c r="V625" s="4"/>
      <c r="W625" s="4" t="s">
        <v>1963</v>
      </c>
      <c r="X625" s="4" t="s">
        <v>3232</v>
      </c>
      <c r="Y625" s="4" t="s">
        <v>3232</v>
      </c>
      <c r="Z625" s="4" t="s">
        <v>121</v>
      </c>
      <c r="AA625" s="4" t="s">
        <v>3233</v>
      </c>
      <c r="AB625" s="4" t="s">
        <v>3234</v>
      </c>
      <c r="AC625" s="4" t="s">
        <v>3235</v>
      </c>
      <c r="AD625" s="4" t="s">
        <v>17</v>
      </c>
      <c r="AE625" s="4" t="s">
        <v>3236</v>
      </c>
      <c r="AF625" s="4" t="s">
        <v>19</v>
      </c>
      <c r="AG625" s="4" t="s">
        <v>19</v>
      </c>
      <c r="AH625" s="4" t="s">
        <v>3234</v>
      </c>
    </row>
    <row r="626" spans="2:34" ht="15">
      <c r="B626" s="1" t="s">
        <v>1518</v>
      </c>
      <c r="C626" s="2">
        <v>43826</v>
      </c>
      <c r="D626" s="1" t="s">
        <v>21</v>
      </c>
      <c r="E626" s="1" t="s">
        <v>3237</v>
      </c>
      <c r="F626" s="1" t="s">
        <v>3</v>
      </c>
      <c r="G626" s="1" t="s">
        <v>4</v>
      </c>
      <c r="H626" s="1" t="s">
        <v>2331</v>
      </c>
      <c r="I626" s="2">
        <v>43823</v>
      </c>
      <c r="J626" s="3">
        <v>0.4941435185185185</v>
      </c>
      <c r="K626" s="2">
        <v>43829</v>
      </c>
      <c r="L626" s="1" t="s">
        <v>2256</v>
      </c>
      <c r="M626" s="1"/>
      <c r="N626" s="1" t="s">
        <v>214</v>
      </c>
      <c r="O626" s="1" t="s">
        <v>215</v>
      </c>
      <c r="P626" s="1" t="s">
        <v>2960</v>
      </c>
      <c r="Q626" s="1" t="s">
        <v>4</v>
      </c>
      <c r="R626" s="1" t="s">
        <v>4</v>
      </c>
      <c r="S626" s="1" t="s">
        <v>4</v>
      </c>
      <c r="T626" s="1"/>
      <c r="U626" s="1"/>
      <c r="V626" s="1"/>
      <c r="W626" s="1" t="s">
        <v>1963</v>
      </c>
      <c r="X626" s="1" t="s">
        <v>3238</v>
      </c>
      <c r="Y626" s="1" t="s">
        <v>3238</v>
      </c>
      <c r="Z626" s="1" t="s">
        <v>3239</v>
      </c>
      <c r="AA626" s="1" t="s">
        <v>3240</v>
      </c>
      <c r="AB626" s="1" t="s">
        <v>3241</v>
      </c>
      <c r="AC626" s="1" t="s">
        <v>3242</v>
      </c>
      <c r="AD626" s="1" t="s">
        <v>17</v>
      </c>
      <c r="AE626" s="1" t="s">
        <v>3243</v>
      </c>
      <c r="AF626" s="1" t="s">
        <v>19</v>
      </c>
      <c r="AG626" s="1" t="s">
        <v>19</v>
      </c>
      <c r="AH626" s="1" t="s">
        <v>3241</v>
      </c>
    </row>
    <row r="627" spans="2:34" ht="15">
      <c r="B627" s="4" t="s">
        <v>1518</v>
      </c>
      <c r="C627" s="5">
        <v>43826</v>
      </c>
      <c r="D627" s="4" t="s">
        <v>21</v>
      </c>
      <c r="E627" s="4" t="s">
        <v>3244</v>
      </c>
      <c r="F627" s="4" t="s">
        <v>3</v>
      </c>
      <c r="G627" s="4" t="s">
        <v>4</v>
      </c>
      <c r="H627" s="4" t="s">
        <v>2331</v>
      </c>
      <c r="I627" s="5">
        <v>43823</v>
      </c>
      <c r="J627" s="6">
        <v>0.45902777777777776</v>
      </c>
      <c r="K627" s="5">
        <v>43829</v>
      </c>
      <c r="L627" s="4" t="s">
        <v>2256</v>
      </c>
      <c r="M627" s="4"/>
      <c r="N627" s="4" t="s">
        <v>2237</v>
      </c>
      <c r="O627" s="4" t="s">
        <v>2238</v>
      </c>
      <c r="P627" s="4" t="s">
        <v>3245</v>
      </c>
      <c r="Q627" s="4" t="s">
        <v>4</v>
      </c>
      <c r="R627" s="4" t="s">
        <v>4</v>
      </c>
      <c r="S627" s="4" t="s">
        <v>4</v>
      </c>
      <c r="T627" s="4"/>
      <c r="U627" s="4"/>
      <c r="V627" s="4"/>
      <c r="W627" s="4" t="s">
        <v>1963</v>
      </c>
      <c r="X627" s="4" t="s">
        <v>2886</v>
      </c>
      <c r="Y627" s="4" t="s">
        <v>2886</v>
      </c>
      <c r="Z627" s="4" t="s">
        <v>3246</v>
      </c>
      <c r="AA627" s="4" t="s">
        <v>1097</v>
      </c>
      <c r="AB627" s="4" t="s">
        <v>3247</v>
      </c>
      <c r="AC627" s="4" t="s">
        <v>3248</v>
      </c>
      <c r="AD627" s="4" t="s">
        <v>17</v>
      </c>
      <c r="AE627" s="4" t="s">
        <v>18</v>
      </c>
      <c r="AF627" s="4" t="s">
        <v>19</v>
      </c>
      <c r="AG627" s="4" t="s">
        <v>19</v>
      </c>
      <c r="AH627" s="4" t="s">
        <v>3247</v>
      </c>
    </row>
    <row r="628" spans="2:34" ht="15">
      <c r="B628" s="1" t="s">
        <v>1518</v>
      </c>
      <c r="C628" s="2">
        <v>43830</v>
      </c>
      <c r="D628" s="1" t="s">
        <v>21</v>
      </c>
      <c r="E628" s="1" t="s">
        <v>3249</v>
      </c>
      <c r="F628" s="1" t="s">
        <v>3</v>
      </c>
      <c r="G628" s="1" t="s">
        <v>4</v>
      </c>
      <c r="H628" s="1" t="s">
        <v>119</v>
      </c>
      <c r="I628" s="2">
        <v>43829</v>
      </c>
      <c r="J628" s="3">
        <v>0.6296759259259259</v>
      </c>
      <c r="K628" s="2">
        <v>43832</v>
      </c>
      <c r="L628" s="1" t="s">
        <v>2256</v>
      </c>
      <c r="M628" s="1"/>
      <c r="N628" s="1" t="s">
        <v>214</v>
      </c>
      <c r="O628" s="1" t="s">
        <v>215</v>
      </c>
      <c r="P628" s="1" t="s">
        <v>2960</v>
      </c>
      <c r="Q628" s="1" t="s">
        <v>4</v>
      </c>
      <c r="R628" s="1" t="s">
        <v>4</v>
      </c>
      <c r="S628" s="1" t="s">
        <v>4</v>
      </c>
      <c r="T628" s="1"/>
      <c r="U628" s="1"/>
      <c r="V628" s="1"/>
      <c r="W628" s="1" t="s">
        <v>1963</v>
      </c>
      <c r="X628" s="1" t="s">
        <v>1765</v>
      </c>
      <c r="Y628" s="1" t="s">
        <v>1765</v>
      </c>
      <c r="Z628" s="1" t="s">
        <v>3250</v>
      </c>
      <c r="AA628" s="1" t="s">
        <v>3251</v>
      </c>
      <c r="AB628" s="1" t="s">
        <v>3252</v>
      </c>
      <c r="AC628" s="1" t="s">
        <v>3253</v>
      </c>
      <c r="AD628" s="1" t="s">
        <v>17</v>
      </c>
      <c r="AE628" s="1" t="s">
        <v>3254</v>
      </c>
      <c r="AF628" s="1" t="s">
        <v>19</v>
      </c>
      <c r="AG628" s="1" t="s">
        <v>19</v>
      </c>
      <c r="AH628" s="1" t="s">
        <v>3252</v>
      </c>
    </row>
    <row r="629" spans="2:34" ht="15">
      <c r="B629" s="4" t="s">
        <v>1518</v>
      </c>
      <c r="C629" s="5">
        <v>43830</v>
      </c>
      <c r="D629" s="4" t="s">
        <v>21</v>
      </c>
      <c r="E629" s="4" t="s">
        <v>3255</v>
      </c>
      <c r="F629" s="4" t="s">
        <v>3</v>
      </c>
      <c r="G629" s="4" t="s">
        <v>4</v>
      </c>
      <c r="H629" s="4" t="s">
        <v>2331</v>
      </c>
      <c r="I629" s="5">
        <v>43829</v>
      </c>
      <c r="J629" s="6">
        <v>0.48998842592592595</v>
      </c>
      <c r="K629" s="5">
        <v>43832</v>
      </c>
      <c r="L629" s="4" t="s">
        <v>2256</v>
      </c>
      <c r="M629" s="4"/>
      <c r="N629" s="4" t="s">
        <v>174</v>
      </c>
      <c r="O629" s="4" t="s">
        <v>175</v>
      </c>
      <c r="P629" s="4" t="s">
        <v>2863</v>
      </c>
      <c r="Q629" s="4" t="s">
        <v>4</v>
      </c>
      <c r="R629" s="4" t="s">
        <v>4</v>
      </c>
      <c r="S629" s="4" t="s">
        <v>4</v>
      </c>
      <c r="T629" s="4"/>
      <c r="U629" s="4"/>
      <c r="V629" s="4"/>
      <c r="W629" s="4" t="s">
        <v>1963</v>
      </c>
      <c r="X629" s="4" t="s">
        <v>3256</v>
      </c>
      <c r="Y629" s="4" t="s">
        <v>3256</v>
      </c>
      <c r="Z629" s="4" t="s">
        <v>3257</v>
      </c>
      <c r="AA629" s="4" t="s">
        <v>3258</v>
      </c>
      <c r="AB629" s="4" t="s">
        <v>3259</v>
      </c>
      <c r="AC629" s="4" t="s">
        <v>3260</v>
      </c>
      <c r="AD629" s="4" t="s">
        <v>17</v>
      </c>
      <c r="AE629" s="4" t="s">
        <v>18</v>
      </c>
      <c r="AF629" s="4" t="s">
        <v>19</v>
      </c>
      <c r="AG629" s="4" t="s">
        <v>19</v>
      </c>
      <c r="AH629" s="4" t="s">
        <v>3259</v>
      </c>
    </row>
    <row r="630" spans="2:34" ht="15">
      <c r="B630" s="1" t="s">
        <v>1524</v>
      </c>
      <c r="C630" s="2">
        <v>43830</v>
      </c>
      <c r="D630" s="1" t="s">
        <v>1</v>
      </c>
      <c r="E630" s="1" t="s">
        <v>3261</v>
      </c>
      <c r="F630" s="1" t="s">
        <v>3</v>
      </c>
      <c r="G630" s="1" t="s">
        <v>4</v>
      </c>
      <c r="H630" s="1" t="s">
        <v>2331</v>
      </c>
      <c r="I630" s="2">
        <v>43829</v>
      </c>
      <c r="J630" s="3">
        <v>0.48998842592592595</v>
      </c>
      <c r="K630" s="2">
        <v>43832</v>
      </c>
      <c r="L630" s="1" t="s">
        <v>2256</v>
      </c>
      <c r="M630" s="1"/>
      <c r="N630" s="1" t="s">
        <v>174</v>
      </c>
      <c r="O630" s="1" t="s">
        <v>175</v>
      </c>
      <c r="P630" s="1" t="s">
        <v>2863</v>
      </c>
      <c r="Q630" s="1" t="s">
        <v>4</v>
      </c>
      <c r="R630" s="1" t="s">
        <v>4</v>
      </c>
      <c r="S630" s="1" t="s">
        <v>4</v>
      </c>
      <c r="T630" s="1"/>
      <c r="U630" s="1"/>
      <c r="V630" s="1"/>
      <c r="W630" s="1" t="s">
        <v>1963</v>
      </c>
      <c r="X630" s="1" t="s">
        <v>3262</v>
      </c>
      <c r="Y630" s="1" t="s">
        <v>3262</v>
      </c>
      <c r="Z630" s="1" t="s">
        <v>3257</v>
      </c>
      <c r="AA630" s="1" t="s">
        <v>3263</v>
      </c>
      <c r="AB630" s="1" t="s">
        <v>3264</v>
      </c>
      <c r="AC630" s="1" t="s">
        <v>3265</v>
      </c>
      <c r="AD630" s="1" t="s">
        <v>17</v>
      </c>
      <c r="AE630" s="1" t="s">
        <v>17</v>
      </c>
      <c r="AF630" s="1" t="s">
        <v>19</v>
      </c>
      <c r="AG630" s="1" t="s">
        <v>19</v>
      </c>
      <c r="AH630" s="1" t="s">
        <v>3264</v>
      </c>
    </row>
    <row r="631" spans="2:34" ht="15">
      <c r="B631" s="4" t="s">
        <v>1524</v>
      </c>
      <c r="C631" s="5">
        <v>43830</v>
      </c>
      <c r="D631" s="4" t="s">
        <v>1</v>
      </c>
      <c r="E631" s="4" t="s">
        <v>3266</v>
      </c>
      <c r="F631" s="4" t="s">
        <v>3</v>
      </c>
      <c r="G631" s="4" t="s">
        <v>4</v>
      </c>
      <c r="H631" s="4" t="s">
        <v>2331</v>
      </c>
      <c r="I631" s="5">
        <v>43829</v>
      </c>
      <c r="J631" s="6">
        <v>0.6111458333333334</v>
      </c>
      <c r="K631" s="5">
        <v>43832</v>
      </c>
      <c r="L631" s="4" t="s">
        <v>2256</v>
      </c>
      <c r="M631" s="4"/>
      <c r="N631" s="4" t="s">
        <v>3205</v>
      </c>
      <c r="O631" s="4" t="s">
        <v>3206</v>
      </c>
      <c r="P631" s="4" t="s">
        <v>3207</v>
      </c>
      <c r="Q631" s="4" t="s">
        <v>4</v>
      </c>
      <c r="R631" s="4" t="s">
        <v>4</v>
      </c>
      <c r="S631" s="4" t="s">
        <v>4</v>
      </c>
      <c r="T631" s="4"/>
      <c r="U631" s="4"/>
      <c r="V631" s="4"/>
      <c r="W631" s="4" t="s">
        <v>2258</v>
      </c>
      <c r="X631" s="4" t="s">
        <v>1031</v>
      </c>
      <c r="Y631" s="4" t="s">
        <v>1031</v>
      </c>
      <c r="Z631" s="4" t="s">
        <v>3267</v>
      </c>
      <c r="AA631" s="4" t="s">
        <v>3268</v>
      </c>
      <c r="AB631" s="4" t="s">
        <v>3269</v>
      </c>
      <c r="AC631" s="4" t="s">
        <v>3270</v>
      </c>
      <c r="AD631" s="4" t="s">
        <v>17</v>
      </c>
      <c r="AE631" s="4" t="s">
        <v>18</v>
      </c>
      <c r="AF631" s="4" t="s">
        <v>19</v>
      </c>
      <c r="AG631" s="4" t="s">
        <v>19</v>
      </c>
      <c r="AH631" s="4" t="s">
        <v>3269</v>
      </c>
    </row>
    <row r="632" spans="2:34" ht="15">
      <c r="B632" s="11" t="s">
        <v>1524</v>
      </c>
      <c r="C632" s="12">
        <v>43830</v>
      </c>
      <c r="D632" s="11" t="s">
        <v>1</v>
      </c>
      <c r="E632" s="11" t="s">
        <v>3271</v>
      </c>
      <c r="F632" s="11" t="s">
        <v>3</v>
      </c>
      <c r="G632" s="11" t="s">
        <v>4</v>
      </c>
      <c r="H632" s="11" t="s">
        <v>2331</v>
      </c>
      <c r="I632" s="12">
        <v>43829</v>
      </c>
      <c r="J632" s="13">
        <v>0.6176967592592593</v>
      </c>
      <c r="K632" s="12">
        <v>43832</v>
      </c>
      <c r="L632" s="11" t="s">
        <v>2256</v>
      </c>
      <c r="M632" s="11"/>
      <c r="N632" s="11" t="s">
        <v>3205</v>
      </c>
      <c r="O632" s="11" t="s">
        <v>3206</v>
      </c>
      <c r="P632" s="11" t="s">
        <v>3207</v>
      </c>
      <c r="Q632" s="11" t="s">
        <v>4</v>
      </c>
      <c r="R632" s="11" t="s">
        <v>4</v>
      </c>
      <c r="S632" s="11" t="s">
        <v>4</v>
      </c>
      <c r="T632" s="11"/>
      <c r="U632" s="11"/>
      <c r="V632" s="11"/>
      <c r="W632" s="11" t="s">
        <v>1963</v>
      </c>
      <c r="X632" s="11" t="s">
        <v>3086</v>
      </c>
      <c r="Y632" s="11" t="s">
        <v>3086</v>
      </c>
      <c r="Z632" s="11" t="s">
        <v>3272</v>
      </c>
      <c r="AA632" s="11" t="s">
        <v>3273</v>
      </c>
      <c r="AB632" s="11" t="s">
        <v>3274</v>
      </c>
      <c r="AC632" s="11" t="s">
        <v>3275</v>
      </c>
      <c r="AD632" s="11" t="s">
        <v>17</v>
      </c>
      <c r="AE632" s="11" t="s">
        <v>3276</v>
      </c>
      <c r="AF632" s="11" t="s">
        <v>19</v>
      </c>
      <c r="AG632" s="11" t="s">
        <v>19</v>
      </c>
      <c r="AH632" s="11" t="s">
        <v>3274</v>
      </c>
    </row>
  </sheetData>
  <autoFilter ref="B2:AH632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C779-3AA4-43D1-96A4-9A745B29A541}">
  <dimension ref="A1:O234"/>
  <sheetViews>
    <sheetView workbookViewId="0" topLeftCell="A1">
      <selection activeCell="F5" sqref="F5"/>
    </sheetView>
  </sheetViews>
  <sheetFormatPr defaultColWidth="8.7109375" defaultRowHeight="15"/>
  <cols>
    <col min="1" max="1" width="0.85546875" style="22" customWidth="1"/>
    <col min="2" max="2" width="25.140625" style="22" customWidth="1"/>
    <col min="3" max="3" width="15.57421875" style="22" bestFit="1" customWidth="1"/>
    <col min="4" max="4" width="10.421875" style="32" bestFit="1" customWidth="1"/>
    <col min="5" max="5" width="10.421875" style="32" customWidth="1"/>
    <col min="6" max="6" width="15.28125" style="32" customWidth="1"/>
    <col min="7" max="7" width="12.7109375" style="32" customWidth="1"/>
    <col min="8" max="8" width="20.421875" style="27" customWidth="1"/>
    <col min="9" max="9" width="34.8515625" style="22" customWidth="1"/>
    <col min="10" max="10" width="15.7109375" style="28" customWidth="1"/>
    <col min="11" max="11" width="10.421875" style="29" bestFit="1" customWidth="1"/>
    <col min="12" max="12" width="13.7109375" style="30" bestFit="1" customWidth="1"/>
    <col min="13" max="13" width="10.140625" style="30" bestFit="1" customWidth="1"/>
    <col min="14" max="14" width="13.7109375" style="30" bestFit="1" customWidth="1"/>
    <col min="15" max="15" width="61.8515625" style="22" bestFit="1" customWidth="1"/>
    <col min="16" max="16" width="8.7109375" style="22" customWidth="1"/>
    <col min="17" max="16384" width="8.7109375" style="22" customWidth="1"/>
  </cols>
  <sheetData>
    <row r="1" spans="2:7" ht="15">
      <c r="B1" s="23" t="s">
        <v>3282</v>
      </c>
      <c r="C1" s="24"/>
      <c r="D1" s="25"/>
      <c r="E1" s="24"/>
      <c r="F1" s="24"/>
      <c r="G1" s="26"/>
    </row>
    <row r="2" spans="2:7" ht="15" customHeight="1">
      <c r="B2" s="31" t="s">
        <v>3283</v>
      </c>
      <c r="C2" s="32"/>
      <c r="D2" s="33"/>
      <c r="G2" s="34"/>
    </row>
    <row r="3" spans="2:7" ht="15" customHeight="1">
      <c r="B3" s="35" t="s">
        <v>48</v>
      </c>
      <c r="C3" s="32"/>
      <c r="D3" s="33"/>
      <c r="G3" s="34"/>
    </row>
    <row r="4" spans="2:7" ht="15" customHeight="1" thickBot="1">
      <c r="B4" s="36" t="s">
        <v>3284</v>
      </c>
      <c r="C4" s="37"/>
      <c r="D4" s="38"/>
      <c r="E4" s="37"/>
      <c r="F4" s="38"/>
      <c r="G4" s="39"/>
    </row>
    <row r="5" spans="1:15" s="47" customFormat="1" ht="29.4" thickBot="1">
      <c r="A5" s="40"/>
      <c r="B5" s="40" t="s">
        <v>3285</v>
      </c>
      <c r="C5" s="40" t="s">
        <v>3286</v>
      </c>
      <c r="D5" s="40" t="s">
        <v>3287</v>
      </c>
      <c r="E5" s="40" t="s">
        <v>3288</v>
      </c>
      <c r="F5" s="40" t="s">
        <v>3289</v>
      </c>
      <c r="G5" s="40" t="s">
        <v>3290</v>
      </c>
      <c r="H5" s="41" t="s">
        <v>3291</v>
      </c>
      <c r="I5" s="40" t="s">
        <v>3292</v>
      </c>
      <c r="J5" s="42" t="s">
        <v>3293</v>
      </c>
      <c r="K5" s="43" t="s">
        <v>71</v>
      </c>
      <c r="L5" s="44" t="s">
        <v>3294</v>
      </c>
      <c r="M5" s="44" t="s">
        <v>3295</v>
      </c>
      <c r="N5" s="45" t="s">
        <v>3296</v>
      </c>
      <c r="O5" s="46" t="s">
        <v>3297</v>
      </c>
    </row>
    <row r="6" spans="8:15" s="47" customFormat="1" ht="15" thickTop="1">
      <c r="H6" s="48"/>
      <c r="J6" s="49"/>
      <c r="K6" s="50"/>
      <c r="L6" s="51"/>
      <c r="M6" s="51"/>
      <c r="N6" s="52"/>
      <c r="O6" s="53"/>
    </row>
    <row r="7" spans="2:15" s="47" customFormat="1" ht="15">
      <c r="B7" s="54" t="s">
        <v>3298</v>
      </c>
      <c r="C7" s="22" t="s">
        <v>3299</v>
      </c>
      <c r="D7" s="55" t="s">
        <v>3300</v>
      </c>
      <c r="E7" s="56">
        <v>43220</v>
      </c>
      <c r="F7" s="56">
        <v>43220</v>
      </c>
      <c r="G7" s="32" t="s">
        <v>3301</v>
      </c>
      <c r="H7" s="27" t="s">
        <v>3302</v>
      </c>
      <c r="I7" s="57" t="s">
        <v>3303</v>
      </c>
      <c r="J7" s="58">
        <v>2950000</v>
      </c>
      <c r="K7" s="59">
        <v>0.32</v>
      </c>
      <c r="L7" s="51">
        <v>0</v>
      </c>
      <c r="M7" s="51">
        <v>0</v>
      </c>
      <c r="N7" s="51">
        <v>0</v>
      </c>
      <c r="O7" s="60" t="s">
        <v>3304</v>
      </c>
    </row>
    <row r="8" spans="2:15" ht="15">
      <c r="B8" s="54" t="s">
        <v>3298</v>
      </c>
      <c r="C8" s="61" t="s">
        <v>3299</v>
      </c>
      <c r="D8" s="62" t="s">
        <v>3305</v>
      </c>
      <c r="E8" s="63">
        <v>43529</v>
      </c>
      <c r="F8" s="63">
        <v>43535</v>
      </c>
      <c r="G8" s="62"/>
      <c r="H8" s="64"/>
      <c r="I8" s="22" t="s">
        <v>3306</v>
      </c>
      <c r="J8" s="65">
        <v>833333</v>
      </c>
      <c r="K8" s="66">
        <v>0.3</v>
      </c>
      <c r="L8" s="67">
        <f aca="true" t="shared" si="0" ref="L8:L21">-J8*K8</f>
        <v>-249999.9</v>
      </c>
      <c r="M8" s="67"/>
      <c r="N8" s="67">
        <f aca="true" t="shared" si="1" ref="N8:N21">L8+M8</f>
        <v>-249999.9</v>
      </c>
      <c r="O8" s="68"/>
    </row>
    <row r="9" spans="2:15" ht="15">
      <c r="B9" s="69" t="s">
        <v>3298</v>
      </c>
      <c r="C9" s="61" t="s">
        <v>3307</v>
      </c>
      <c r="D9" s="62" t="s">
        <v>3308</v>
      </c>
      <c r="E9" s="63">
        <v>43523</v>
      </c>
      <c r="F9" s="63">
        <v>43531</v>
      </c>
      <c r="G9" s="62" t="s">
        <v>3309</v>
      </c>
      <c r="H9" s="64" t="s">
        <v>3310</v>
      </c>
      <c r="J9" s="65">
        <v>79729</v>
      </c>
      <c r="K9" s="66">
        <v>0.3</v>
      </c>
      <c r="L9" s="67">
        <f t="shared" si="0"/>
        <v>-23918.7</v>
      </c>
      <c r="M9" s="67"/>
      <c r="N9" s="67">
        <f t="shared" si="1"/>
        <v>-23918.7</v>
      </c>
      <c r="O9" s="68"/>
    </row>
    <row r="10" spans="2:15" ht="15">
      <c r="B10" s="54" t="s">
        <v>3298</v>
      </c>
      <c r="C10" s="61" t="s">
        <v>3299</v>
      </c>
      <c r="D10" s="32" t="s">
        <v>3311</v>
      </c>
      <c r="E10" s="70">
        <v>43805</v>
      </c>
      <c r="F10" s="70">
        <v>43803</v>
      </c>
      <c r="G10" s="27" t="s">
        <v>3312</v>
      </c>
      <c r="H10" s="27" t="s">
        <v>3312</v>
      </c>
      <c r="I10" s="22" t="s">
        <v>3313</v>
      </c>
      <c r="J10" s="28">
        <v>-200000</v>
      </c>
      <c r="K10" s="29">
        <v>0.36</v>
      </c>
      <c r="L10" s="30">
        <f t="shared" si="0"/>
        <v>72000</v>
      </c>
      <c r="M10" s="30">
        <f>-SUM(42.24,144,5.91,1)</f>
        <v>-193.15</v>
      </c>
      <c r="N10" s="67">
        <f t="shared" si="1"/>
        <v>71806.85</v>
      </c>
      <c r="O10" s="71"/>
    </row>
    <row r="11" spans="2:15" ht="15">
      <c r="B11" s="54" t="s">
        <v>3298</v>
      </c>
      <c r="C11" s="61" t="s">
        <v>3299</v>
      </c>
      <c r="D11" s="32" t="s">
        <v>3311</v>
      </c>
      <c r="E11" s="70">
        <v>43808</v>
      </c>
      <c r="F11" s="70">
        <v>43804</v>
      </c>
      <c r="G11" s="27" t="s">
        <v>3312</v>
      </c>
      <c r="H11" s="27" t="s">
        <v>3312</v>
      </c>
      <c r="I11" s="22" t="s">
        <v>3313</v>
      </c>
      <c r="J11" s="28">
        <v>-150000</v>
      </c>
      <c r="K11" s="29">
        <v>0.36</v>
      </c>
      <c r="L11" s="30">
        <f t="shared" si="0"/>
        <v>54000</v>
      </c>
      <c r="M11" s="30">
        <f>-SUM(42.24,108,5.91,1)</f>
        <v>-157.15</v>
      </c>
      <c r="N11" s="67">
        <f t="shared" si="1"/>
        <v>53842.85</v>
      </c>
      <c r="O11" s="68"/>
    </row>
    <row r="12" spans="2:15" ht="15">
      <c r="B12" s="54" t="s">
        <v>3298</v>
      </c>
      <c r="C12" s="22" t="s">
        <v>3299</v>
      </c>
      <c r="D12" s="32" t="s">
        <v>3311</v>
      </c>
      <c r="E12" s="70">
        <v>43815</v>
      </c>
      <c r="F12" s="70">
        <v>43811</v>
      </c>
      <c r="G12" s="32" t="s">
        <v>3301</v>
      </c>
      <c r="H12" s="27" t="s">
        <v>3302</v>
      </c>
      <c r="I12" s="22" t="s">
        <v>3303</v>
      </c>
      <c r="J12" s="28">
        <v>-353000</v>
      </c>
      <c r="K12" s="29">
        <v>0.36</v>
      </c>
      <c r="L12" s="30">
        <f t="shared" si="0"/>
        <v>127080</v>
      </c>
      <c r="M12" s="30">
        <f>-SUM(41.67,254.16,5.83,1)</f>
        <v>-302.65999999999997</v>
      </c>
      <c r="N12" s="67">
        <f t="shared" si="1"/>
        <v>126777.34</v>
      </c>
      <c r="O12" s="72"/>
    </row>
    <row r="13" spans="2:15" ht="15">
      <c r="B13" s="54" t="s">
        <v>3298</v>
      </c>
      <c r="C13" s="22" t="s">
        <v>3299</v>
      </c>
      <c r="D13" s="32" t="s">
        <v>3311</v>
      </c>
      <c r="E13" s="70">
        <v>43823</v>
      </c>
      <c r="F13" s="70">
        <v>43819</v>
      </c>
      <c r="G13" s="32" t="s">
        <v>3301</v>
      </c>
      <c r="H13" s="27" t="s">
        <v>3302</v>
      </c>
      <c r="I13" s="22" t="s">
        <v>3303</v>
      </c>
      <c r="J13" s="28">
        <v>-25000</v>
      </c>
      <c r="K13" s="29">
        <v>0.36</v>
      </c>
      <c r="L13" s="30">
        <f t="shared" si="0"/>
        <v>9000</v>
      </c>
      <c r="M13" s="30">
        <f>-SUM(42.73+18+5.98)</f>
        <v>-66.71</v>
      </c>
      <c r="N13" s="67">
        <f t="shared" si="1"/>
        <v>8933.29</v>
      </c>
      <c r="O13" s="72"/>
    </row>
    <row r="14" spans="2:15" ht="15">
      <c r="B14" s="54" t="s">
        <v>3298</v>
      </c>
      <c r="C14" s="22" t="s">
        <v>3299</v>
      </c>
      <c r="D14" s="32" t="s">
        <v>3311</v>
      </c>
      <c r="E14" s="70">
        <v>43826</v>
      </c>
      <c r="F14" s="70">
        <v>43822</v>
      </c>
      <c r="G14" s="32" t="s">
        <v>3301</v>
      </c>
      <c r="H14" s="27" t="s">
        <v>3302</v>
      </c>
      <c r="I14" s="22" t="s">
        <v>3303</v>
      </c>
      <c r="J14" s="28">
        <v>-100000</v>
      </c>
      <c r="K14" s="29">
        <v>0.35</v>
      </c>
      <c r="L14" s="30">
        <f t="shared" si="0"/>
        <v>35000</v>
      </c>
      <c r="M14" s="30">
        <f>-SUM(42.73+70+5.98+1)</f>
        <v>-119.71</v>
      </c>
      <c r="N14" s="67">
        <f t="shared" si="1"/>
        <v>34880.29</v>
      </c>
      <c r="O14" s="72"/>
    </row>
    <row r="15" spans="2:15" ht="15">
      <c r="B15" s="54" t="s">
        <v>3298</v>
      </c>
      <c r="C15" s="22" t="s">
        <v>3299</v>
      </c>
      <c r="D15" s="32" t="s">
        <v>3311</v>
      </c>
      <c r="E15" s="70">
        <v>43832</v>
      </c>
      <c r="F15" s="70">
        <v>43829</v>
      </c>
      <c r="G15" s="32" t="s">
        <v>3301</v>
      </c>
      <c r="H15" s="27" t="s">
        <v>3302</v>
      </c>
      <c r="I15" s="22" t="s">
        <v>3303</v>
      </c>
      <c r="J15" s="28">
        <v>-100000</v>
      </c>
      <c r="K15" s="29">
        <v>0.35</v>
      </c>
      <c r="L15" s="30">
        <f t="shared" si="0"/>
        <v>35000</v>
      </c>
      <c r="M15" s="30">
        <f>-SUM(42.42+70+5.94+1)</f>
        <v>-119.36</v>
      </c>
      <c r="N15" s="67">
        <f t="shared" si="1"/>
        <v>34880.64</v>
      </c>
      <c r="O15" s="72"/>
    </row>
    <row r="16" spans="2:15" ht="15">
      <c r="B16" s="54" t="s">
        <v>3298</v>
      </c>
      <c r="C16" s="22" t="s">
        <v>3299</v>
      </c>
      <c r="D16" s="32" t="s">
        <v>3311</v>
      </c>
      <c r="E16" s="70">
        <v>43846</v>
      </c>
      <c r="F16" s="70">
        <v>43844</v>
      </c>
      <c r="G16" s="32" t="s">
        <v>3312</v>
      </c>
      <c r="H16" s="27" t="s">
        <v>3312</v>
      </c>
      <c r="I16" s="22" t="s">
        <v>3313</v>
      </c>
      <c r="J16" s="28">
        <v>-350000</v>
      </c>
      <c r="K16" s="29">
        <v>0.35</v>
      </c>
      <c r="L16" s="30">
        <f t="shared" si="0"/>
        <v>122499.99999999999</v>
      </c>
      <c r="M16" s="30">
        <f>-SUM(42.72,245,5.98,1)</f>
        <v>-294.70000000000005</v>
      </c>
      <c r="N16" s="67">
        <f t="shared" si="1"/>
        <v>122205.29999999999</v>
      </c>
      <c r="O16" s="72"/>
    </row>
    <row r="17" spans="2:15" ht="15">
      <c r="B17" s="54" t="s">
        <v>3298</v>
      </c>
      <c r="C17" s="22" t="s">
        <v>3299</v>
      </c>
      <c r="D17" s="32" t="s">
        <v>3311</v>
      </c>
      <c r="E17" s="70">
        <v>43854</v>
      </c>
      <c r="F17" s="70">
        <v>43852</v>
      </c>
      <c r="G17" s="32" t="s">
        <v>3312</v>
      </c>
      <c r="H17" s="27" t="s">
        <v>3312</v>
      </c>
      <c r="I17" s="22" t="s">
        <v>3313</v>
      </c>
      <c r="J17" s="28">
        <v>-400000</v>
      </c>
      <c r="K17" s="29">
        <v>0.355</v>
      </c>
      <c r="L17" s="30">
        <f t="shared" si="0"/>
        <v>142000</v>
      </c>
      <c r="M17" s="30">
        <f>-SUM(42.24,284,5.91,1)</f>
        <v>-333.15000000000003</v>
      </c>
      <c r="N17" s="67">
        <f t="shared" si="1"/>
        <v>141666.85</v>
      </c>
      <c r="O17" s="72"/>
    </row>
    <row r="18" spans="2:15" ht="15">
      <c r="B18" s="54" t="s">
        <v>3298</v>
      </c>
      <c r="C18" s="22" t="s">
        <v>3299</v>
      </c>
      <c r="D18" s="32" t="s">
        <v>3311</v>
      </c>
      <c r="E18" s="70">
        <v>43873</v>
      </c>
      <c r="F18" s="70">
        <v>43871</v>
      </c>
      <c r="G18" s="32" t="s">
        <v>3301</v>
      </c>
      <c r="H18" s="27" t="s">
        <v>3302</v>
      </c>
      <c r="I18" s="22" t="s">
        <v>3303</v>
      </c>
      <c r="J18" s="28">
        <v>-356000</v>
      </c>
      <c r="K18" s="29">
        <v>0.36</v>
      </c>
      <c r="L18" s="30">
        <f t="shared" si="0"/>
        <v>128160</v>
      </c>
      <c r="M18" s="30">
        <f>-(42.28+256.32+5.92+1)</f>
        <v>-305.52000000000004</v>
      </c>
      <c r="N18" s="67">
        <f t="shared" si="1"/>
        <v>127854.48</v>
      </c>
      <c r="O18" s="72"/>
    </row>
    <row r="19" spans="2:15" ht="15">
      <c r="B19" s="54" t="s">
        <v>3298</v>
      </c>
      <c r="C19" s="22" t="s">
        <v>3299</v>
      </c>
      <c r="D19" s="32" t="s">
        <v>3311</v>
      </c>
      <c r="E19" s="70">
        <v>43875</v>
      </c>
      <c r="F19" s="70">
        <v>43873</v>
      </c>
      <c r="G19" s="32" t="s">
        <v>3301</v>
      </c>
      <c r="H19" s="27" t="s">
        <v>3302</v>
      </c>
      <c r="I19" s="22" t="s">
        <v>3303</v>
      </c>
      <c r="J19" s="28">
        <v>-99447</v>
      </c>
      <c r="K19" s="29">
        <v>0.364</v>
      </c>
      <c r="L19" s="30">
        <f t="shared" si="0"/>
        <v>36198.708</v>
      </c>
      <c r="M19" s="30">
        <f>-SUM(41.96,72.4,5.87,1)</f>
        <v>-121.23000000000002</v>
      </c>
      <c r="N19" s="67">
        <f t="shared" si="1"/>
        <v>36077.477999999996</v>
      </c>
      <c r="O19" s="72"/>
    </row>
    <row r="20" spans="2:15" ht="15">
      <c r="B20" s="54" t="s">
        <v>3298</v>
      </c>
      <c r="C20" s="22" t="s">
        <v>3299</v>
      </c>
      <c r="D20" s="32" t="s">
        <v>3311</v>
      </c>
      <c r="E20" s="70">
        <v>43889</v>
      </c>
      <c r="F20" s="70">
        <v>43887</v>
      </c>
      <c r="G20" s="32" t="s">
        <v>3301</v>
      </c>
      <c r="H20" s="27" t="s">
        <v>3302</v>
      </c>
      <c r="I20" s="22" t="s">
        <v>3303</v>
      </c>
      <c r="J20" s="28">
        <v>-162341</v>
      </c>
      <c r="K20" s="29">
        <v>0.36</v>
      </c>
      <c r="L20" s="30">
        <f t="shared" si="0"/>
        <v>58442.759999999995</v>
      </c>
      <c r="M20" s="30">
        <f>-SUM(42.18,116.89,5.91,1)</f>
        <v>-165.98</v>
      </c>
      <c r="N20" s="67">
        <f t="shared" si="1"/>
        <v>58276.77999999999</v>
      </c>
      <c r="O20" s="72"/>
    </row>
    <row r="21" spans="2:15" ht="15">
      <c r="B21" s="54" t="s">
        <v>3298</v>
      </c>
      <c r="C21" s="22" t="s">
        <v>3299</v>
      </c>
      <c r="D21" s="32" t="s">
        <v>3311</v>
      </c>
      <c r="E21" s="70">
        <v>43908</v>
      </c>
      <c r="F21" s="70">
        <v>43906</v>
      </c>
      <c r="G21" s="32" t="s">
        <v>3301</v>
      </c>
      <c r="H21" s="27" t="s">
        <v>3302</v>
      </c>
      <c r="I21" s="22" t="s">
        <v>3303</v>
      </c>
      <c r="J21" s="28">
        <v>-30000</v>
      </c>
      <c r="K21" s="29">
        <v>0.285</v>
      </c>
      <c r="L21" s="30">
        <f t="shared" si="0"/>
        <v>8550</v>
      </c>
      <c r="M21" s="30">
        <f>-45.55-17.1-6.38</f>
        <v>-69.03</v>
      </c>
      <c r="N21" s="67">
        <f t="shared" si="1"/>
        <v>8480.97</v>
      </c>
      <c r="O21" s="72"/>
    </row>
    <row r="22" spans="8:15" s="47" customFormat="1" ht="15">
      <c r="H22" s="48"/>
      <c r="J22" s="49"/>
      <c r="K22" s="50"/>
      <c r="L22" s="51"/>
      <c r="M22" s="51"/>
      <c r="N22" s="51"/>
      <c r="O22" s="51"/>
    </row>
    <row r="23" spans="8:15" s="47" customFormat="1" ht="15" thickBot="1">
      <c r="H23" s="48"/>
      <c r="I23" s="47" t="s">
        <v>3314</v>
      </c>
      <c r="J23" s="73">
        <f>SUM(J7:J21)</f>
        <v>1537274</v>
      </c>
      <c r="K23" s="50"/>
      <c r="L23" s="51"/>
      <c r="M23" s="51"/>
      <c r="N23" s="51"/>
      <c r="O23" s="51"/>
    </row>
    <row r="24" spans="8:15" s="47" customFormat="1" ht="15" thickTop="1">
      <c r="H24" s="48"/>
      <c r="J24" s="49"/>
      <c r="K24" s="50"/>
      <c r="L24" s="51"/>
      <c r="M24" s="51"/>
      <c r="N24" s="51"/>
      <c r="O24" s="51"/>
    </row>
    <row r="25" spans="8:15" s="47" customFormat="1" ht="15">
      <c r="H25" s="48"/>
      <c r="J25" s="49"/>
      <c r="K25" s="50"/>
      <c r="L25" s="51"/>
      <c r="M25" s="51"/>
      <c r="N25" s="51"/>
      <c r="O25" s="51"/>
    </row>
    <row r="26" spans="8:15" s="47" customFormat="1" ht="15">
      <c r="H26" s="48"/>
      <c r="J26" s="49"/>
      <c r="K26" s="50"/>
      <c r="L26" s="51"/>
      <c r="M26" s="51"/>
      <c r="N26" s="51"/>
      <c r="O26" s="51"/>
    </row>
    <row r="27" spans="2:15" ht="25.2">
      <c r="B27" s="54" t="s">
        <v>3315</v>
      </c>
      <c r="C27" s="74" t="s">
        <v>3316</v>
      </c>
      <c r="D27" s="55" t="s">
        <v>3305</v>
      </c>
      <c r="E27" s="70">
        <v>43718</v>
      </c>
      <c r="F27" s="70">
        <v>43714</v>
      </c>
      <c r="G27" s="32" t="s">
        <v>3317</v>
      </c>
      <c r="H27" s="27" t="s">
        <v>3318</v>
      </c>
      <c r="I27" s="22" t="s">
        <v>3319</v>
      </c>
      <c r="J27" s="28">
        <v>45500</v>
      </c>
      <c r="K27" s="75">
        <v>1.922777</v>
      </c>
      <c r="L27" s="30">
        <f aca="true" t="shared" si="2" ref="L27:L41">-J27*K27</f>
        <v>-87486.3535</v>
      </c>
      <c r="M27" s="76">
        <f>-(SUM(174.97,1))</f>
        <v>-175.97</v>
      </c>
      <c r="N27" s="30">
        <f aca="true" t="shared" si="3" ref="N27:N41">L27+M27</f>
        <v>-87662.3235</v>
      </c>
      <c r="O27" s="68"/>
    </row>
    <row r="28" spans="2:15" ht="25.2">
      <c r="B28" s="54" t="s">
        <v>3315</v>
      </c>
      <c r="C28" s="74" t="s">
        <v>3316</v>
      </c>
      <c r="D28" s="55" t="s">
        <v>3305</v>
      </c>
      <c r="E28" s="70">
        <v>43725</v>
      </c>
      <c r="F28" s="70">
        <v>43721</v>
      </c>
      <c r="G28" s="32" t="s">
        <v>3317</v>
      </c>
      <c r="H28" s="27" t="s">
        <v>3318</v>
      </c>
      <c r="I28" s="22" t="s">
        <v>3319</v>
      </c>
      <c r="J28" s="28">
        <v>35000</v>
      </c>
      <c r="K28" s="22">
        <v>1.925039</v>
      </c>
      <c r="L28" s="30">
        <f t="shared" si="2"/>
        <v>-67376.365</v>
      </c>
      <c r="M28" s="76">
        <f>-(SUM(44.35,134.75,6.21,1))</f>
        <v>-186.31</v>
      </c>
      <c r="N28" s="30">
        <f t="shared" si="3"/>
        <v>-67562.675</v>
      </c>
      <c r="O28" s="68"/>
    </row>
    <row r="29" spans="2:15" ht="15">
      <c r="B29" s="54" t="s">
        <v>3320</v>
      </c>
      <c r="C29" s="77" t="s">
        <v>3316</v>
      </c>
      <c r="D29" s="32" t="s">
        <v>3305</v>
      </c>
      <c r="E29" s="70">
        <v>43406</v>
      </c>
      <c r="F29" s="70">
        <v>43404</v>
      </c>
      <c r="G29" s="32" t="s">
        <v>3317</v>
      </c>
      <c r="H29" s="27" t="s">
        <v>3318</v>
      </c>
      <c r="I29" s="22" t="s">
        <v>3319</v>
      </c>
      <c r="J29" s="28">
        <v>400000</v>
      </c>
      <c r="K29" s="29">
        <v>2.6</v>
      </c>
      <c r="L29" s="30">
        <f t="shared" si="2"/>
        <v>-1040000</v>
      </c>
      <c r="M29" s="30">
        <f>-(2080+44.15+6.18+1)</f>
        <v>-2131.33</v>
      </c>
      <c r="N29" s="30">
        <f t="shared" si="3"/>
        <v>-1042131.33</v>
      </c>
      <c r="O29" s="68"/>
    </row>
    <row r="30" spans="2:15" ht="25.2">
      <c r="B30" s="54" t="s">
        <v>3321</v>
      </c>
      <c r="C30" s="74" t="s">
        <v>3316</v>
      </c>
      <c r="D30" s="32" t="s">
        <v>3305</v>
      </c>
      <c r="E30" s="70">
        <v>43494</v>
      </c>
      <c r="F30" s="70">
        <v>43490</v>
      </c>
      <c r="G30" s="32" t="s">
        <v>3317</v>
      </c>
      <c r="H30" s="27" t="s">
        <v>3318</v>
      </c>
      <c r="I30" s="22" t="s">
        <v>3319</v>
      </c>
      <c r="J30" s="28">
        <v>15000</v>
      </c>
      <c r="K30" s="29">
        <v>2.125</v>
      </c>
      <c r="L30" s="30">
        <f t="shared" si="2"/>
        <v>-31875</v>
      </c>
      <c r="M30" s="30">
        <f>-SUM(63.75+1)</f>
        <v>-64.75</v>
      </c>
      <c r="N30" s="30">
        <f t="shared" si="3"/>
        <v>-31939.75</v>
      </c>
      <c r="O30" s="68"/>
    </row>
    <row r="31" spans="2:15" ht="15">
      <c r="B31" s="54" t="s">
        <v>3322</v>
      </c>
      <c r="C31" s="77" t="s">
        <v>3316</v>
      </c>
      <c r="D31" s="32" t="s">
        <v>3305</v>
      </c>
      <c r="E31" s="70">
        <v>43497</v>
      </c>
      <c r="F31" s="70">
        <v>43501</v>
      </c>
      <c r="G31" s="32" t="s">
        <v>3317</v>
      </c>
      <c r="H31" s="27" t="s">
        <v>3318</v>
      </c>
      <c r="I31" s="22" t="s">
        <v>3319</v>
      </c>
      <c r="J31" s="28">
        <v>10000</v>
      </c>
      <c r="K31" s="29">
        <v>2.15</v>
      </c>
      <c r="L31" s="30">
        <f t="shared" si="2"/>
        <v>-21500</v>
      </c>
      <c r="M31" s="30">
        <f>-SUM(43+1)</f>
        <v>-44</v>
      </c>
      <c r="N31" s="30">
        <f t="shared" si="3"/>
        <v>-21544</v>
      </c>
      <c r="O31" s="68"/>
    </row>
    <row r="32" spans="2:15" ht="15">
      <c r="B32" s="54" t="s">
        <v>3322</v>
      </c>
      <c r="C32" s="77" t="s">
        <v>3316</v>
      </c>
      <c r="D32" s="32" t="s">
        <v>3305</v>
      </c>
      <c r="E32" s="70">
        <v>43504</v>
      </c>
      <c r="F32" s="70">
        <v>43508</v>
      </c>
      <c r="G32" s="32" t="s">
        <v>3317</v>
      </c>
      <c r="H32" s="27" t="s">
        <v>3318</v>
      </c>
      <c r="I32" s="22" t="s">
        <v>3319</v>
      </c>
      <c r="J32" s="28">
        <v>15500</v>
      </c>
      <c r="K32" s="29">
        <v>2.147906</v>
      </c>
      <c r="L32" s="30">
        <f t="shared" si="2"/>
        <v>-33292.543</v>
      </c>
      <c r="M32" s="30">
        <f>-SUM(66.59+1)</f>
        <v>-67.59</v>
      </c>
      <c r="N32" s="30">
        <f t="shared" si="3"/>
        <v>-33360.132999999994</v>
      </c>
      <c r="O32" s="68"/>
    </row>
    <row r="33" spans="2:15" ht="15">
      <c r="B33" s="54" t="s">
        <v>3322</v>
      </c>
      <c r="C33" s="78" t="s">
        <v>3316</v>
      </c>
      <c r="D33" s="32" t="s">
        <v>3305</v>
      </c>
      <c r="E33" s="70">
        <v>43511</v>
      </c>
      <c r="F33" s="70">
        <v>43150</v>
      </c>
      <c r="G33" s="32" t="s">
        <v>3317</v>
      </c>
      <c r="H33" s="27" t="s">
        <v>3318</v>
      </c>
      <c r="I33" s="22" t="s">
        <v>3319</v>
      </c>
      <c r="J33" s="79">
        <v>35000</v>
      </c>
      <c r="K33" s="22">
        <v>2.207886</v>
      </c>
      <c r="L33" s="30">
        <f t="shared" si="2"/>
        <v>-77276.01</v>
      </c>
      <c r="M33" s="30">
        <f>-SUM(154.55+1)</f>
        <v>-155.55</v>
      </c>
      <c r="N33" s="30">
        <f t="shared" si="3"/>
        <v>-77431.56</v>
      </c>
      <c r="O33" s="68"/>
    </row>
    <row r="34" spans="2:15" ht="15">
      <c r="B34" s="54" t="s">
        <v>3322</v>
      </c>
      <c r="C34" s="78" t="s">
        <v>3316</v>
      </c>
      <c r="D34" s="32" t="s">
        <v>3305</v>
      </c>
      <c r="E34" s="70">
        <v>43518</v>
      </c>
      <c r="F34" s="70">
        <v>43522</v>
      </c>
      <c r="G34" s="32" t="s">
        <v>3317</v>
      </c>
      <c r="H34" s="27" t="s">
        <v>3318</v>
      </c>
      <c r="I34" s="22" t="s">
        <v>3319</v>
      </c>
      <c r="J34" s="79">
        <v>15000</v>
      </c>
      <c r="K34" s="22">
        <v>2.225</v>
      </c>
      <c r="L34" s="30">
        <f t="shared" si="2"/>
        <v>-33375</v>
      </c>
      <c r="M34" s="30">
        <f>-SUM(66.75+1)</f>
        <v>-67.75</v>
      </c>
      <c r="N34" s="30">
        <f t="shared" si="3"/>
        <v>-33442.75</v>
      </c>
      <c r="O34" s="68"/>
    </row>
    <row r="35" spans="2:15" ht="15">
      <c r="B35" s="54" t="s">
        <v>3322</v>
      </c>
      <c r="C35" s="78" t="s">
        <v>3316</v>
      </c>
      <c r="D35" s="32" t="s">
        <v>3305</v>
      </c>
      <c r="E35" s="70">
        <v>43529</v>
      </c>
      <c r="F35" s="70">
        <v>43525</v>
      </c>
      <c r="G35" s="32" t="s">
        <v>3317</v>
      </c>
      <c r="H35" s="27" t="s">
        <v>3318</v>
      </c>
      <c r="I35" s="22" t="s">
        <v>3319</v>
      </c>
      <c r="J35" s="79">
        <v>9500</v>
      </c>
      <c r="K35" s="22">
        <v>2.196079</v>
      </c>
      <c r="L35" s="30">
        <f t="shared" si="2"/>
        <v>-20862.750500000002</v>
      </c>
      <c r="M35" s="30">
        <f>-SUM(41.73+1)</f>
        <v>-42.73</v>
      </c>
      <c r="N35" s="30">
        <f t="shared" si="3"/>
        <v>-20905.4805</v>
      </c>
      <c r="O35" s="68"/>
    </row>
    <row r="36" spans="2:15" ht="15">
      <c r="B36" s="54" t="s">
        <v>3322</v>
      </c>
      <c r="C36" s="78" t="s">
        <v>3316</v>
      </c>
      <c r="D36" s="32" t="s">
        <v>3305</v>
      </c>
      <c r="E36" s="70">
        <v>43543</v>
      </c>
      <c r="F36" s="70">
        <v>43539</v>
      </c>
      <c r="G36" s="32" t="s">
        <v>3317</v>
      </c>
      <c r="H36" s="27" t="s">
        <v>3318</v>
      </c>
      <c r="I36" s="22" t="s">
        <v>3319</v>
      </c>
      <c r="J36" s="79">
        <v>85000</v>
      </c>
      <c r="K36" s="22">
        <v>1.8</v>
      </c>
      <c r="L36" s="30">
        <f t="shared" si="2"/>
        <v>-153000</v>
      </c>
      <c r="M36" s="30">
        <f>-SUM(306+1)</f>
        <v>-307</v>
      </c>
      <c r="N36" s="30">
        <f t="shared" si="3"/>
        <v>-153307</v>
      </c>
      <c r="O36" s="68"/>
    </row>
    <row r="37" spans="2:15" ht="15">
      <c r="B37" s="54" t="s">
        <v>3322</v>
      </c>
      <c r="C37" s="78" t="s">
        <v>3316</v>
      </c>
      <c r="D37" s="32" t="s">
        <v>3305</v>
      </c>
      <c r="E37" s="70">
        <v>43550</v>
      </c>
      <c r="F37" s="70">
        <v>43546</v>
      </c>
      <c r="G37" s="32" t="s">
        <v>3323</v>
      </c>
      <c r="H37" s="27" t="s">
        <v>3318</v>
      </c>
      <c r="I37" s="22" t="s">
        <v>3319</v>
      </c>
      <c r="J37" s="79">
        <v>23273</v>
      </c>
      <c r="K37" s="22">
        <v>1.817582</v>
      </c>
      <c r="L37" s="30">
        <f t="shared" si="2"/>
        <v>-42300.585886</v>
      </c>
      <c r="M37" s="30">
        <f>-SUM(84.6+1)</f>
        <v>-85.6</v>
      </c>
      <c r="N37" s="30">
        <f t="shared" si="3"/>
        <v>-42386.185886</v>
      </c>
      <c r="O37" s="68"/>
    </row>
    <row r="38" spans="2:15" ht="15">
      <c r="B38" s="54" t="s">
        <v>3322</v>
      </c>
      <c r="C38" s="78" t="s">
        <v>3316</v>
      </c>
      <c r="D38" s="32" t="s">
        <v>3305</v>
      </c>
      <c r="E38" s="70">
        <v>43557</v>
      </c>
      <c r="F38" s="70">
        <v>43553</v>
      </c>
      <c r="G38" s="32" t="s">
        <v>3323</v>
      </c>
      <c r="H38" s="27" t="s">
        <v>3318</v>
      </c>
      <c r="I38" s="22" t="s">
        <v>3319</v>
      </c>
      <c r="J38" s="79">
        <v>40000</v>
      </c>
      <c r="K38" s="22">
        <v>1.805</v>
      </c>
      <c r="L38" s="30">
        <f t="shared" si="2"/>
        <v>-72200</v>
      </c>
      <c r="M38" s="30">
        <f>-SUM(144.4+1)</f>
        <v>-145.4</v>
      </c>
      <c r="N38" s="30">
        <f t="shared" si="3"/>
        <v>-72345.4</v>
      </c>
      <c r="O38" s="68"/>
    </row>
    <row r="39" spans="2:15" ht="15">
      <c r="B39" s="54" t="s">
        <v>3322</v>
      </c>
      <c r="C39" s="78" t="s">
        <v>3316</v>
      </c>
      <c r="D39" s="32" t="s">
        <v>3305</v>
      </c>
      <c r="E39" s="70">
        <v>43564</v>
      </c>
      <c r="F39" s="70">
        <v>43560</v>
      </c>
      <c r="G39" s="32" t="s">
        <v>3323</v>
      </c>
      <c r="H39" s="27" t="s">
        <v>3318</v>
      </c>
      <c r="I39" s="22" t="s">
        <v>3319</v>
      </c>
      <c r="J39" s="79">
        <v>14500</v>
      </c>
      <c r="K39" s="22">
        <v>1.844483</v>
      </c>
      <c r="L39" s="30">
        <f t="shared" si="2"/>
        <v>-26745.003500000003</v>
      </c>
      <c r="M39" s="30">
        <f>-SUM(53.49+1)</f>
        <v>-54.49</v>
      </c>
      <c r="N39" s="30">
        <f t="shared" si="3"/>
        <v>-26799.493500000004</v>
      </c>
      <c r="O39" s="68"/>
    </row>
    <row r="40" spans="2:15" ht="15">
      <c r="B40" s="54" t="s">
        <v>3322</v>
      </c>
      <c r="C40" s="78" t="s">
        <v>3316</v>
      </c>
      <c r="D40" s="32" t="s">
        <v>3305</v>
      </c>
      <c r="E40" s="70">
        <v>43696</v>
      </c>
      <c r="F40" s="70">
        <v>43692</v>
      </c>
      <c r="G40" s="32" t="s">
        <v>3323</v>
      </c>
      <c r="H40" s="27" t="s">
        <v>3318</v>
      </c>
      <c r="I40" s="22" t="s">
        <v>3319</v>
      </c>
      <c r="J40" s="79">
        <v>175000</v>
      </c>
      <c r="K40" s="22">
        <v>2</v>
      </c>
      <c r="L40" s="30">
        <f t="shared" si="2"/>
        <v>-350000</v>
      </c>
      <c r="M40" s="30">
        <f>-SUM(700+1)</f>
        <v>-701</v>
      </c>
      <c r="N40" s="30">
        <f t="shared" si="3"/>
        <v>-350701</v>
      </c>
      <c r="O40" s="68"/>
    </row>
    <row r="41" spans="2:15" ht="25.2">
      <c r="B41" s="54" t="s">
        <v>3322</v>
      </c>
      <c r="C41" s="74" t="s">
        <v>3316</v>
      </c>
      <c r="D41" s="32" t="s">
        <v>3305</v>
      </c>
      <c r="E41" s="70">
        <v>43705</v>
      </c>
      <c r="F41" s="70">
        <v>43700</v>
      </c>
      <c r="G41" s="32" t="s">
        <v>3317</v>
      </c>
      <c r="H41" s="27" t="s">
        <v>3318</v>
      </c>
      <c r="I41" s="22" t="s">
        <v>3319</v>
      </c>
      <c r="J41" s="28">
        <v>9500</v>
      </c>
      <c r="K41" s="29">
        <v>1.92661</v>
      </c>
      <c r="L41" s="30">
        <f t="shared" si="2"/>
        <v>-18302.795</v>
      </c>
      <c r="M41" s="30">
        <f>-SUM(36.61,1)</f>
        <v>-37.61</v>
      </c>
      <c r="N41" s="30">
        <f t="shared" si="3"/>
        <v>-18340.405</v>
      </c>
      <c r="O41" s="68"/>
    </row>
    <row r="42" spans="8:15" s="47" customFormat="1" ht="15">
      <c r="H42" s="48"/>
      <c r="J42" s="49"/>
      <c r="K42" s="50"/>
      <c r="L42" s="51"/>
      <c r="M42" s="51"/>
      <c r="N42" s="51"/>
      <c r="O42" s="51"/>
    </row>
    <row r="43" spans="8:15" s="47" customFormat="1" ht="15" thickBot="1">
      <c r="H43" s="48"/>
      <c r="I43" s="47" t="s">
        <v>3314</v>
      </c>
      <c r="J43" s="73">
        <f>SUM(J27:J41)</f>
        <v>927773</v>
      </c>
      <c r="K43" s="50"/>
      <c r="L43" s="51"/>
      <c r="M43" s="51"/>
      <c r="N43" s="51"/>
      <c r="O43" s="51"/>
    </row>
    <row r="44" spans="8:15" s="47" customFormat="1" ht="15" thickTop="1">
      <c r="H44" s="48"/>
      <c r="J44" s="49"/>
      <c r="K44" s="50"/>
      <c r="L44" s="51"/>
      <c r="M44" s="51"/>
      <c r="N44" s="51"/>
      <c r="O44" s="51"/>
    </row>
    <row r="45" spans="8:15" s="47" customFormat="1" ht="15">
      <c r="H45" s="48"/>
      <c r="J45" s="49"/>
      <c r="K45" s="50"/>
      <c r="L45" s="51"/>
      <c r="M45" s="51"/>
      <c r="N45" s="51"/>
      <c r="O45" s="51"/>
    </row>
    <row r="46" spans="8:15" s="47" customFormat="1" ht="15">
      <c r="H46" s="48"/>
      <c r="J46" s="49"/>
      <c r="K46" s="50"/>
      <c r="L46" s="51"/>
      <c r="M46" s="51"/>
      <c r="N46" s="51"/>
      <c r="O46" s="51"/>
    </row>
    <row r="47" spans="2:15" s="47" customFormat="1" ht="14.25" customHeight="1">
      <c r="B47" s="54" t="s">
        <v>3324</v>
      </c>
      <c r="C47" s="80" t="s">
        <v>3325</v>
      </c>
      <c r="D47" s="55" t="s">
        <v>3300</v>
      </c>
      <c r="E47" s="56">
        <v>43220</v>
      </c>
      <c r="F47" s="56">
        <v>43220</v>
      </c>
      <c r="G47" s="32" t="s">
        <v>3301</v>
      </c>
      <c r="H47" s="27" t="s">
        <v>3302</v>
      </c>
      <c r="I47" s="57" t="s">
        <v>3303</v>
      </c>
      <c r="J47" s="58">
        <v>11219207</v>
      </c>
      <c r="K47" s="59">
        <v>0.0575</v>
      </c>
      <c r="L47" s="51">
        <v>0</v>
      </c>
      <c r="M47" s="51">
        <v>0</v>
      </c>
      <c r="N47" s="51">
        <v>0</v>
      </c>
      <c r="O47" s="60" t="s">
        <v>3304</v>
      </c>
    </row>
    <row r="48" spans="2:15" ht="15">
      <c r="B48" s="54" t="s">
        <v>3324</v>
      </c>
      <c r="C48" s="80" t="s">
        <v>3325</v>
      </c>
      <c r="D48" s="32" t="s">
        <v>3305</v>
      </c>
      <c r="E48" s="70">
        <v>43417</v>
      </c>
      <c r="F48" s="70">
        <v>43413</v>
      </c>
      <c r="G48" s="32" t="s">
        <v>3323</v>
      </c>
      <c r="H48" s="27" t="s">
        <v>3326</v>
      </c>
      <c r="I48" s="22" t="s">
        <v>3327</v>
      </c>
      <c r="J48" s="28">
        <v>10500000</v>
      </c>
      <c r="K48" s="29">
        <v>0.039038</v>
      </c>
      <c r="L48" s="30">
        <f aca="true" t="shared" si="4" ref="L48:L55">-J48*K48</f>
        <v>-409899.00000000006</v>
      </c>
      <c r="M48" s="30">
        <v>-820.8</v>
      </c>
      <c r="N48" s="30">
        <f aca="true" t="shared" si="5" ref="N48:N55">L48+M48</f>
        <v>-410719.80000000005</v>
      </c>
      <c r="O48" s="68"/>
    </row>
    <row r="49" spans="2:15" ht="15">
      <c r="B49" s="54" t="s">
        <v>3324</v>
      </c>
      <c r="C49" s="80" t="s">
        <v>3325</v>
      </c>
      <c r="D49" s="32" t="s">
        <v>3305</v>
      </c>
      <c r="E49" s="70">
        <v>43525</v>
      </c>
      <c r="F49" s="70">
        <v>43529</v>
      </c>
      <c r="G49" s="32" t="s">
        <v>3323</v>
      </c>
      <c r="H49" s="27" t="s">
        <v>3326</v>
      </c>
      <c r="I49" s="22" t="s">
        <v>3327</v>
      </c>
      <c r="J49" s="28">
        <v>1298728</v>
      </c>
      <c r="K49" s="29">
        <v>0.049299</v>
      </c>
      <c r="L49" s="30">
        <f t="shared" si="4"/>
        <v>-64025.991672000004</v>
      </c>
      <c r="M49" s="30">
        <f>-SUM(128.05+1)</f>
        <v>-129.05</v>
      </c>
      <c r="N49" s="30">
        <f t="shared" si="5"/>
        <v>-64155.04167200001</v>
      </c>
      <c r="O49" s="68"/>
    </row>
    <row r="50" spans="2:15" ht="15">
      <c r="B50" s="54" t="s">
        <v>3324</v>
      </c>
      <c r="C50" s="80" t="s">
        <v>3325</v>
      </c>
      <c r="D50" s="32" t="s">
        <v>3305</v>
      </c>
      <c r="E50" s="70">
        <v>43532</v>
      </c>
      <c r="F50" s="70">
        <v>43530</v>
      </c>
      <c r="G50" s="32" t="s">
        <v>3323</v>
      </c>
      <c r="H50" s="27" t="s">
        <v>3326</v>
      </c>
      <c r="I50" s="22" t="s">
        <v>3327</v>
      </c>
      <c r="J50" s="28">
        <v>701272</v>
      </c>
      <c r="K50" s="29">
        <v>0.05</v>
      </c>
      <c r="L50" s="30">
        <f t="shared" si="4"/>
        <v>-35063.6</v>
      </c>
      <c r="M50" s="30">
        <f>-SUM(70.13+1)</f>
        <v>-71.13</v>
      </c>
      <c r="N50" s="30">
        <f t="shared" si="5"/>
        <v>-35134.729999999996</v>
      </c>
      <c r="O50" s="68"/>
    </row>
    <row r="51" spans="2:15" ht="25.2">
      <c r="B51" s="54" t="s">
        <v>3324</v>
      </c>
      <c r="C51" s="74" t="s">
        <v>3325</v>
      </c>
      <c r="D51" s="32" t="s">
        <v>3305</v>
      </c>
      <c r="E51" s="70">
        <v>43586</v>
      </c>
      <c r="F51" s="70">
        <v>43584</v>
      </c>
      <c r="G51" s="32" t="s">
        <v>3301</v>
      </c>
      <c r="H51" s="27" t="s">
        <v>3302</v>
      </c>
      <c r="I51" s="22" t="s">
        <v>3303</v>
      </c>
      <c r="J51" s="28">
        <v>5000000</v>
      </c>
      <c r="K51" s="29">
        <v>0.053</v>
      </c>
      <c r="L51" s="30">
        <f t="shared" si="4"/>
        <v>-265000</v>
      </c>
      <c r="M51" s="30">
        <f>-SUM(530+1)</f>
        <v>-531</v>
      </c>
      <c r="N51" s="30">
        <f t="shared" si="5"/>
        <v>-265531</v>
      </c>
      <c r="O51" s="68"/>
    </row>
    <row r="52" spans="2:15" ht="25.2">
      <c r="B52" s="54" t="s">
        <v>3324</v>
      </c>
      <c r="C52" s="74" t="s">
        <v>3325</v>
      </c>
      <c r="D52" s="32" t="s">
        <v>3305</v>
      </c>
      <c r="E52" s="70">
        <v>43661</v>
      </c>
      <c r="F52" s="70">
        <v>43658</v>
      </c>
      <c r="G52" s="32" t="s">
        <v>3301</v>
      </c>
      <c r="H52" s="27" t="s">
        <v>3302</v>
      </c>
      <c r="I52" s="22" t="s">
        <v>3303</v>
      </c>
      <c r="J52" s="28">
        <v>675000</v>
      </c>
      <c r="K52" s="29">
        <v>0.046</v>
      </c>
      <c r="L52" s="30">
        <f t="shared" si="4"/>
        <v>-31050</v>
      </c>
      <c r="M52" s="30">
        <f>-SUM(62.1+1)</f>
        <v>-63.1</v>
      </c>
      <c r="N52" s="30">
        <f t="shared" si="5"/>
        <v>-31113.1</v>
      </c>
      <c r="O52" s="68"/>
    </row>
    <row r="53" spans="2:15" ht="25.2">
      <c r="B53" s="54" t="s">
        <v>3324</v>
      </c>
      <c r="C53" s="74" t="s">
        <v>3325</v>
      </c>
      <c r="D53" s="32" t="s">
        <v>3305</v>
      </c>
      <c r="E53" s="70">
        <v>43669</v>
      </c>
      <c r="F53" s="70">
        <v>43665</v>
      </c>
      <c r="G53" s="32" t="s">
        <v>3301</v>
      </c>
      <c r="H53" s="27" t="s">
        <v>3302</v>
      </c>
      <c r="I53" s="22" t="s">
        <v>3303</v>
      </c>
      <c r="J53" s="28">
        <v>250000</v>
      </c>
      <c r="K53" s="29">
        <v>0.0455</v>
      </c>
      <c r="L53" s="30">
        <f t="shared" si="4"/>
        <v>-11375</v>
      </c>
      <c r="M53" s="30">
        <f>-SUM(22.75+1)</f>
        <v>-23.75</v>
      </c>
      <c r="N53" s="30">
        <f t="shared" si="5"/>
        <v>-11398.75</v>
      </c>
      <c r="O53" s="68"/>
    </row>
    <row r="54" spans="2:15" ht="25.2">
      <c r="B54" s="54" t="s">
        <v>3324</v>
      </c>
      <c r="C54" s="74" t="s">
        <v>3325</v>
      </c>
      <c r="D54" s="32" t="s">
        <v>3305</v>
      </c>
      <c r="E54" s="70">
        <v>43682</v>
      </c>
      <c r="F54" s="70">
        <v>43678</v>
      </c>
      <c r="G54" s="32" t="s">
        <v>3301</v>
      </c>
      <c r="H54" s="27" t="s">
        <v>3302</v>
      </c>
      <c r="I54" s="22" t="s">
        <v>3303</v>
      </c>
      <c r="J54" s="28">
        <v>500000</v>
      </c>
      <c r="K54" s="29">
        <v>0.0455</v>
      </c>
      <c r="L54" s="30">
        <f t="shared" si="4"/>
        <v>-22750</v>
      </c>
      <c r="M54" s="30">
        <f>-SUM(45.5+1)</f>
        <v>-46.5</v>
      </c>
      <c r="N54" s="30">
        <f t="shared" si="5"/>
        <v>-22796.5</v>
      </c>
      <c r="O54" s="68"/>
    </row>
    <row r="55" spans="2:15" ht="25.2">
      <c r="B55" s="54" t="s">
        <v>3324</v>
      </c>
      <c r="C55" s="74" t="s">
        <v>3325</v>
      </c>
      <c r="D55" s="32" t="s">
        <v>3305</v>
      </c>
      <c r="E55" s="70">
        <v>43698</v>
      </c>
      <c r="F55" s="70">
        <v>43696</v>
      </c>
      <c r="G55" s="32" t="s">
        <v>3301</v>
      </c>
      <c r="H55" s="27" t="s">
        <v>3302</v>
      </c>
      <c r="I55" s="22" t="s">
        <v>3303</v>
      </c>
      <c r="J55" s="28">
        <v>150000</v>
      </c>
      <c r="K55" s="81">
        <v>0.042</v>
      </c>
      <c r="L55" s="30">
        <f t="shared" si="4"/>
        <v>-6300</v>
      </c>
      <c r="M55" s="30">
        <f>-SUM(12.6)</f>
        <v>-12.6</v>
      </c>
      <c r="N55" s="30">
        <f t="shared" si="5"/>
        <v>-6312.6</v>
      </c>
      <c r="O55" s="68"/>
    </row>
    <row r="56" spans="8:15" s="47" customFormat="1" ht="15">
      <c r="H56" s="48"/>
      <c r="J56" s="49"/>
      <c r="K56" s="50"/>
      <c r="L56" s="51"/>
      <c r="M56" s="51"/>
      <c r="N56" s="51"/>
      <c r="O56" s="51"/>
    </row>
    <row r="57" spans="8:15" s="47" customFormat="1" ht="15" thickBot="1">
      <c r="H57" s="48"/>
      <c r="I57" s="47" t="s">
        <v>3314</v>
      </c>
      <c r="J57" s="73">
        <f>SUM(J47:J55)</f>
        <v>30294207</v>
      </c>
      <c r="K57" s="50"/>
      <c r="L57" s="51"/>
      <c r="M57" s="51"/>
      <c r="N57" s="51"/>
      <c r="O57" s="51"/>
    </row>
    <row r="58" spans="8:15" s="47" customFormat="1" ht="15" thickTop="1">
      <c r="H58" s="48"/>
      <c r="J58" s="49"/>
      <c r="K58" s="50"/>
      <c r="L58" s="51"/>
      <c r="M58" s="51"/>
      <c r="N58" s="51"/>
      <c r="O58" s="51"/>
    </row>
    <row r="59" spans="8:15" s="47" customFormat="1" ht="15">
      <c r="H59" s="48"/>
      <c r="J59" s="49"/>
      <c r="K59" s="50"/>
      <c r="L59" s="51"/>
      <c r="M59" s="51"/>
      <c r="N59" s="51"/>
      <c r="O59" s="51"/>
    </row>
    <row r="60" spans="8:15" s="47" customFormat="1" ht="15">
      <c r="H60" s="48"/>
      <c r="J60" s="49"/>
      <c r="K60" s="50"/>
      <c r="L60" s="51"/>
      <c r="M60" s="51"/>
      <c r="N60" s="51"/>
      <c r="O60" s="51"/>
    </row>
    <row r="61" spans="2:15" s="47" customFormat="1" ht="15">
      <c r="B61" s="54" t="s">
        <v>3328</v>
      </c>
      <c r="C61" s="77" t="s">
        <v>3329</v>
      </c>
      <c r="D61" s="55" t="s">
        <v>3300</v>
      </c>
      <c r="E61" s="56">
        <v>43220</v>
      </c>
      <c r="F61" s="56">
        <v>43220</v>
      </c>
      <c r="G61" s="32" t="s">
        <v>3301</v>
      </c>
      <c r="H61" s="27" t="s">
        <v>3302</v>
      </c>
      <c r="I61" s="57" t="s">
        <v>3303</v>
      </c>
      <c r="J61" s="58">
        <v>3074823</v>
      </c>
      <c r="K61" s="59">
        <v>0.515</v>
      </c>
      <c r="L61" s="51">
        <v>0</v>
      </c>
      <c r="M61" s="51">
        <v>0</v>
      </c>
      <c r="N61" s="51">
        <v>0</v>
      </c>
      <c r="O61" s="60" t="s">
        <v>3304</v>
      </c>
    </row>
    <row r="62" spans="2:15" ht="15">
      <c r="B62" s="54" t="s">
        <v>3328</v>
      </c>
      <c r="C62" s="77" t="s">
        <v>3329</v>
      </c>
      <c r="D62" s="32" t="s">
        <v>3305</v>
      </c>
      <c r="E62" s="70">
        <v>43424</v>
      </c>
      <c r="F62" s="70">
        <v>43420</v>
      </c>
      <c r="G62" s="32" t="s">
        <v>3317</v>
      </c>
      <c r="H62" s="27" t="s">
        <v>3318</v>
      </c>
      <c r="I62" s="22" t="s">
        <v>3319</v>
      </c>
      <c r="J62" s="28">
        <v>100000</v>
      </c>
      <c r="K62" s="29">
        <v>0.42</v>
      </c>
      <c r="L62" s="30">
        <f aca="true" t="shared" si="6" ref="L62:L67">-J62*K62</f>
        <v>-42000</v>
      </c>
      <c r="M62" s="30">
        <f>-SUM(44.45+84+6.22+211.42)</f>
        <v>-346.09</v>
      </c>
      <c r="N62" s="30">
        <f aca="true" t="shared" si="7" ref="N62:N67">L62+M62</f>
        <v>-42346.09</v>
      </c>
      <c r="O62" s="68"/>
    </row>
    <row r="63" spans="2:15" ht="15">
      <c r="B63" s="54" t="s">
        <v>3330</v>
      </c>
      <c r="C63" s="77" t="s">
        <v>3331</v>
      </c>
      <c r="D63" s="32" t="s">
        <v>3305</v>
      </c>
      <c r="E63" s="70">
        <v>43655</v>
      </c>
      <c r="F63" s="70">
        <v>43651</v>
      </c>
      <c r="G63" s="32" t="s">
        <v>3332</v>
      </c>
      <c r="H63" s="27" t="s">
        <v>3302</v>
      </c>
      <c r="I63" s="22" t="s">
        <v>3303</v>
      </c>
      <c r="J63" s="28">
        <v>22000</v>
      </c>
      <c r="K63" s="29">
        <v>0.47</v>
      </c>
      <c r="L63" s="30">
        <f t="shared" si="6"/>
        <v>-10340</v>
      </c>
      <c r="M63" s="30">
        <f>-SUM(20.68+51.8+1)</f>
        <v>-73.47999999999999</v>
      </c>
      <c r="N63" s="30">
        <f t="shared" si="7"/>
        <v>-10413.48</v>
      </c>
      <c r="O63" s="68"/>
    </row>
    <row r="64" spans="2:15" ht="15">
      <c r="B64" s="54" t="s">
        <v>3330</v>
      </c>
      <c r="C64" s="77" t="s">
        <v>3331</v>
      </c>
      <c r="D64" s="32" t="s">
        <v>3305</v>
      </c>
      <c r="E64" s="70">
        <v>43662</v>
      </c>
      <c r="F64" s="70">
        <v>43658</v>
      </c>
      <c r="G64" s="32" t="s">
        <v>3332</v>
      </c>
      <c r="H64" s="27" t="s">
        <v>3302</v>
      </c>
      <c r="I64" s="22" t="s">
        <v>3303</v>
      </c>
      <c r="J64" s="28">
        <v>100000</v>
      </c>
      <c r="K64" s="29">
        <v>0.46</v>
      </c>
      <c r="L64" s="30">
        <f t="shared" si="6"/>
        <v>-46000</v>
      </c>
      <c r="M64" s="30">
        <f>-SUM(92+230.46+1)</f>
        <v>-323.46000000000004</v>
      </c>
      <c r="N64" s="30">
        <f t="shared" si="7"/>
        <v>-46323.46</v>
      </c>
      <c r="O64" s="68"/>
    </row>
    <row r="65" spans="2:15" ht="15">
      <c r="B65" s="54" t="s">
        <v>3330</v>
      </c>
      <c r="C65" s="77" t="s">
        <v>3331</v>
      </c>
      <c r="D65" s="32" t="s">
        <v>3305</v>
      </c>
      <c r="E65" s="70">
        <v>43662</v>
      </c>
      <c r="F65" s="70">
        <v>43658</v>
      </c>
      <c r="G65" s="32" t="s">
        <v>3332</v>
      </c>
      <c r="H65" s="27" t="s">
        <v>3333</v>
      </c>
      <c r="I65" s="22" t="s">
        <v>3334</v>
      </c>
      <c r="J65" s="28">
        <v>7036</v>
      </c>
      <c r="K65" s="29">
        <v>0.47</v>
      </c>
      <c r="L65" s="30">
        <f t="shared" si="6"/>
        <v>-3306.9199999999996</v>
      </c>
      <c r="M65" s="30">
        <f>-SUM(6.61+16.57)</f>
        <v>-23.18</v>
      </c>
      <c r="N65" s="30">
        <f t="shared" si="7"/>
        <v>-3330.0999999999995</v>
      </c>
      <c r="O65" s="68"/>
    </row>
    <row r="66" spans="2:15" ht="15">
      <c r="B66" s="54" t="s">
        <v>3335</v>
      </c>
      <c r="C66" s="22" t="s">
        <v>3329</v>
      </c>
      <c r="D66" s="32" t="s">
        <v>3305</v>
      </c>
      <c r="E66" s="70">
        <v>43815</v>
      </c>
      <c r="F66" s="70">
        <v>43811</v>
      </c>
      <c r="G66" s="32" t="s">
        <v>3332</v>
      </c>
      <c r="H66" s="27" t="s">
        <v>3333</v>
      </c>
      <c r="I66" s="22" t="s">
        <v>3334</v>
      </c>
      <c r="J66" s="28">
        <v>3575779</v>
      </c>
      <c r="K66" s="29">
        <v>0.355</v>
      </c>
      <c r="L66" s="30">
        <f t="shared" si="6"/>
        <v>-1269401.545</v>
      </c>
      <c r="M66" s="30">
        <f>-SUM(41.67,2538.8,5.83,6360.7)</f>
        <v>-8947</v>
      </c>
      <c r="N66" s="67">
        <f t="shared" si="7"/>
        <v>-1278348.545</v>
      </c>
      <c r="O66" s="72"/>
    </row>
    <row r="67" spans="2:15" ht="15">
      <c r="B67" s="54" t="s">
        <v>3336</v>
      </c>
      <c r="C67" s="22" t="s">
        <v>509</v>
      </c>
      <c r="D67" s="32" t="s">
        <v>3305</v>
      </c>
      <c r="E67" s="70">
        <v>43811</v>
      </c>
      <c r="F67" s="70">
        <v>43815</v>
      </c>
      <c r="G67" s="32" t="s">
        <v>3332</v>
      </c>
      <c r="H67" s="27" t="s">
        <v>3333</v>
      </c>
      <c r="I67" s="22" t="s">
        <v>3334</v>
      </c>
      <c r="J67" s="28">
        <v>151922</v>
      </c>
      <c r="K67" s="29">
        <v>0.355</v>
      </c>
      <c r="L67" s="30">
        <f t="shared" si="6"/>
        <v>-53932.31</v>
      </c>
      <c r="M67" s="30">
        <f>-SUM(42.55+107.86+5.96+271.2)</f>
        <v>-427.57</v>
      </c>
      <c r="N67" s="67">
        <f t="shared" si="7"/>
        <v>-54359.88</v>
      </c>
      <c r="O67" s="72"/>
    </row>
    <row r="68" spans="2:15" ht="15">
      <c r="B68" s="54"/>
      <c r="E68" s="70"/>
      <c r="F68" s="70"/>
      <c r="N68" s="67"/>
      <c r="O68" s="72"/>
    </row>
    <row r="69" spans="2:15" ht="15" thickBot="1">
      <c r="B69" s="54"/>
      <c r="E69" s="70"/>
      <c r="F69" s="70"/>
      <c r="I69" s="47" t="s">
        <v>3314</v>
      </c>
      <c r="J69" s="73">
        <f>SUM(J61:J67)</f>
        <v>7031560</v>
      </c>
      <c r="N69" s="67"/>
      <c r="O69" s="72"/>
    </row>
    <row r="70" spans="2:15" ht="15" thickTop="1">
      <c r="B70" s="54"/>
      <c r="E70" s="70"/>
      <c r="F70" s="70"/>
      <c r="I70" s="47"/>
      <c r="J70" s="49"/>
      <c r="N70" s="67"/>
      <c r="O70" s="72"/>
    </row>
    <row r="71" spans="2:15" ht="15">
      <c r="B71" s="54"/>
      <c r="E71" s="70"/>
      <c r="F71" s="70"/>
      <c r="N71" s="67"/>
      <c r="O71" s="72"/>
    </row>
    <row r="72" spans="2:15" ht="15">
      <c r="B72" s="54"/>
      <c r="E72" s="70"/>
      <c r="F72" s="70"/>
      <c r="N72" s="67"/>
      <c r="O72" s="72"/>
    </row>
    <row r="73" spans="2:15" s="47" customFormat="1" ht="15">
      <c r="B73" s="54" t="s">
        <v>3337</v>
      </c>
      <c r="C73" s="77" t="s">
        <v>3338</v>
      </c>
      <c r="D73" s="55" t="s">
        <v>3300</v>
      </c>
      <c r="E73" s="56">
        <v>43220</v>
      </c>
      <c r="F73" s="56">
        <v>43220</v>
      </c>
      <c r="G73" s="32" t="s">
        <v>3301</v>
      </c>
      <c r="H73" s="27" t="s">
        <v>3302</v>
      </c>
      <c r="I73" s="57" t="s">
        <v>3303</v>
      </c>
      <c r="J73" s="58">
        <v>3150000</v>
      </c>
      <c r="K73" s="59">
        <v>0.35</v>
      </c>
      <c r="L73" s="51">
        <v>0</v>
      </c>
      <c r="M73" s="51">
        <v>0</v>
      </c>
      <c r="N73" s="51">
        <v>0</v>
      </c>
      <c r="O73" s="60" t="s">
        <v>3304</v>
      </c>
    </row>
    <row r="74" spans="2:15" ht="15">
      <c r="B74" s="54" t="s">
        <v>3337</v>
      </c>
      <c r="C74" s="77" t="s">
        <v>3338</v>
      </c>
      <c r="D74" s="32" t="s">
        <v>3305</v>
      </c>
      <c r="E74" s="70">
        <v>43298</v>
      </c>
      <c r="F74" s="70">
        <v>43294</v>
      </c>
      <c r="G74" s="32" t="s">
        <v>3317</v>
      </c>
      <c r="H74" s="27" t="s">
        <v>3318</v>
      </c>
      <c r="I74" s="22" t="s">
        <v>3319</v>
      </c>
      <c r="J74" s="28">
        <v>175000</v>
      </c>
      <c r="K74" s="29">
        <v>0.35</v>
      </c>
      <c r="L74" s="30">
        <f>-J74*K74</f>
        <v>-61249.99999999999</v>
      </c>
      <c r="M74" s="30">
        <v>-123.5</v>
      </c>
      <c r="N74" s="30">
        <f>L74+M74</f>
        <v>-61373.49999999999</v>
      </c>
      <c r="O74" s="68"/>
    </row>
    <row r="75" spans="2:15" ht="15">
      <c r="B75" s="54" t="s">
        <v>3337</v>
      </c>
      <c r="C75" s="77" t="s">
        <v>3338</v>
      </c>
      <c r="D75" s="32" t="s">
        <v>3305</v>
      </c>
      <c r="E75" s="70">
        <v>43305</v>
      </c>
      <c r="F75" s="70">
        <v>43301</v>
      </c>
      <c r="G75" s="32" t="s">
        <v>3317</v>
      </c>
      <c r="H75" s="27" t="s">
        <v>3318</v>
      </c>
      <c r="I75" s="22" t="s">
        <v>3319</v>
      </c>
      <c r="J75" s="28">
        <v>25000</v>
      </c>
      <c r="K75" s="29">
        <v>0.35</v>
      </c>
      <c r="L75" s="30">
        <f>-J75*K75</f>
        <v>-8750</v>
      </c>
      <c r="M75" s="30">
        <v>-68.43000000000029</v>
      </c>
      <c r="N75" s="30">
        <v>-8818.43</v>
      </c>
      <c r="O75" s="68"/>
    </row>
    <row r="76" spans="2:15" ht="15">
      <c r="B76" s="54" t="s">
        <v>3337</v>
      </c>
      <c r="C76" s="77" t="s">
        <v>3338</v>
      </c>
      <c r="D76" s="32" t="s">
        <v>3305</v>
      </c>
      <c r="E76" s="70">
        <v>43361</v>
      </c>
      <c r="F76" s="70">
        <v>43357</v>
      </c>
      <c r="G76" s="32" t="s">
        <v>3323</v>
      </c>
      <c r="H76" s="27" t="s">
        <v>3326</v>
      </c>
      <c r="I76" s="22" t="s">
        <v>3327</v>
      </c>
      <c r="J76" s="28">
        <v>200000</v>
      </c>
      <c r="K76" s="29">
        <v>0.43</v>
      </c>
      <c r="L76" s="30">
        <f>-(J76*K76)</f>
        <v>-86000</v>
      </c>
      <c r="M76" s="30">
        <f>-44.51-172-6.23-1</f>
        <v>-223.73999999999998</v>
      </c>
      <c r="N76" s="30">
        <f aca="true" t="shared" si="8" ref="N76:N84">L76+M76</f>
        <v>-86223.74</v>
      </c>
      <c r="O76" s="68"/>
    </row>
    <row r="77" spans="2:15" ht="15">
      <c r="B77" s="54" t="s">
        <v>3337</v>
      </c>
      <c r="C77" s="77" t="s">
        <v>3338</v>
      </c>
      <c r="D77" s="32" t="s">
        <v>3305</v>
      </c>
      <c r="E77" s="70">
        <v>43368</v>
      </c>
      <c r="F77" s="70">
        <v>43364</v>
      </c>
      <c r="G77" s="32" t="s">
        <v>3323</v>
      </c>
      <c r="H77" s="27" t="s">
        <v>3326</v>
      </c>
      <c r="I77" s="22" t="s">
        <v>3327</v>
      </c>
      <c r="J77" s="28">
        <v>500000</v>
      </c>
      <c r="K77" s="29">
        <v>0.53425</v>
      </c>
      <c r="L77" s="30">
        <f>-(J77*K77)</f>
        <v>-267125</v>
      </c>
      <c r="M77" s="30">
        <v>-595</v>
      </c>
      <c r="N77" s="30">
        <f t="shared" si="8"/>
        <v>-267720</v>
      </c>
      <c r="O77" s="68"/>
    </row>
    <row r="78" spans="2:15" ht="15">
      <c r="B78" s="54" t="s">
        <v>3337</v>
      </c>
      <c r="C78" s="77" t="s">
        <v>3338</v>
      </c>
      <c r="D78" s="32" t="s">
        <v>3305</v>
      </c>
      <c r="E78" s="70">
        <v>43375</v>
      </c>
      <c r="F78" s="70">
        <v>43371</v>
      </c>
      <c r="G78" s="32" t="s">
        <v>3323</v>
      </c>
      <c r="H78" s="27" t="s">
        <v>3326</v>
      </c>
      <c r="I78" s="22" t="s">
        <v>3327</v>
      </c>
      <c r="J78" s="28">
        <v>500000</v>
      </c>
      <c r="K78" s="29">
        <v>0.52</v>
      </c>
      <c r="L78" s="30">
        <f>-(J78*K78)</f>
        <v>-260000</v>
      </c>
      <c r="M78" s="30">
        <f>-44.4-520-6.22-1</f>
        <v>-571.62</v>
      </c>
      <c r="N78" s="30">
        <f t="shared" si="8"/>
        <v>-260571.62</v>
      </c>
      <c r="O78" s="68"/>
    </row>
    <row r="79" spans="2:15" ht="15">
      <c r="B79" s="54" t="s">
        <v>3337</v>
      </c>
      <c r="C79" s="77" t="s">
        <v>3338</v>
      </c>
      <c r="D79" s="32" t="s">
        <v>3305</v>
      </c>
      <c r="E79" s="70">
        <v>43383</v>
      </c>
      <c r="F79" s="70">
        <v>43378</v>
      </c>
      <c r="G79" s="32" t="s">
        <v>3323</v>
      </c>
      <c r="H79" s="27" t="s">
        <v>3326</v>
      </c>
      <c r="I79" s="22" t="s">
        <v>3327</v>
      </c>
      <c r="J79" s="28">
        <v>150000</v>
      </c>
      <c r="K79" s="29">
        <v>0.52</v>
      </c>
      <c r="L79" s="30">
        <f>-(J79*K79)</f>
        <v>-78000</v>
      </c>
      <c r="M79" s="30">
        <v>-157</v>
      </c>
      <c r="N79" s="30">
        <f t="shared" si="8"/>
        <v>-78157</v>
      </c>
      <c r="O79" s="68"/>
    </row>
    <row r="80" spans="2:15" ht="15">
      <c r="B80" s="54" t="s">
        <v>3337</v>
      </c>
      <c r="C80" s="77" t="s">
        <v>3338</v>
      </c>
      <c r="D80" s="32" t="s">
        <v>3305</v>
      </c>
      <c r="E80" s="70">
        <v>43385</v>
      </c>
      <c r="F80" s="70">
        <v>43382</v>
      </c>
      <c r="G80" s="32" t="s">
        <v>3323</v>
      </c>
      <c r="H80" s="27" t="s">
        <v>3326</v>
      </c>
      <c r="I80" s="22" t="s">
        <v>3327</v>
      </c>
      <c r="J80" s="28">
        <v>850000</v>
      </c>
      <c r="K80" s="29">
        <v>0.467794</v>
      </c>
      <c r="L80" s="30">
        <f>-(J80*K80)</f>
        <v>-397624.89999999997</v>
      </c>
      <c r="M80" s="30">
        <v>-846.22</v>
      </c>
      <c r="N80" s="30">
        <f t="shared" si="8"/>
        <v>-398471.11999999994</v>
      </c>
      <c r="O80" s="68"/>
    </row>
    <row r="81" spans="2:15" ht="15">
      <c r="B81" s="54" t="s">
        <v>3337</v>
      </c>
      <c r="C81" s="77" t="s">
        <v>3338</v>
      </c>
      <c r="D81" s="32" t="s">
        <v>3305</v>
      </c>
      <c r="E81" s="70">
        <v>43416</v>
      </c>
      <c r="F81" s="70">
        <v>43412</v>
      </c>
      <c r="G81" s="32" t="s">
        <v>3317</v>
      </c>
      <c r="H81" s="27" t="s">
        <v>3318</v>
      </c>
      <c r="I81" s="22" t="s">
        <v>3319</v>
      </c>
      <c r="J81" s="28">
        <v>825000</v>
      </c>
      <c r="K81" s="29">
        <v>0.440606</v>
      </c>
      <c r="L81" s="30">
        <f>-J81*K81</f>
        <v>-363499.95</v>
      </c>
      <c r="M81" s="30">
        <f>-(43.48+728+6.09)</f>
        <v>-777.57</v>
      </c>
      <c r="N81" s="30">
        <f t="shared" si="8"/>
        <v>-364277.52</v>
      </c>
      <c r="O81" s="68"/>
    </row>
    <row r="82" spans="2:15" ht="15">
      <c r="B82" s="54" t="s">
        <v>3337</v>
      </c>
      <c r="C82" s="77" t="s">
        <v>3338</v>
      </c>
      <c r="D82" s="32" t="s">
        <v>3305</v>
      </c>
      <c r="E82" s="70">
        <v>43427</v>
      </c>
      <c r="F82" s="70">
        <v>43425</v>
      </c>
      <c r="G82" s="32" t="s">
        <v>3317</v>
      </c>
      <c r="H82" s="27" t="s">
        <v>3318</v>
      </c>
      <c r="I82" s="22" t="s">
        <v>3319</v>
      </c>
      <c r="J82" s="28">
        <v>680166</v>
      </c>
      <c r="K82" s="29">
        <v>0.509236</v>
      </c>
      <c r="L82" s="30">
        <f>-J82*K82</f>
        <v>-346365.01317600004</v>
      </c>
      <c r="M82" s="30">
        <f>-(44.57+693.73+6.24)</f>
        <v>-744.5400000000001</v>
      </c>
      <c r="N82" s="30">
        <f t="shared" si="8"/>
        <v>-347109.553176</v>
      </c>
      <c r="O82" s="68"/>
    </row>
    <row r="83" spans="2:15" ht="15">
      <c r="B83" s="54" t="s">
        <v>3337</v>
      </c>
      <c r="C83" s="77" t="s">
        <v>3338</v>
      </c>
      <c r="D83" s="32" t="s">
        <v>3305</v>
      </c>
      <c r="E83" s="70">
        <v>43431</v>
      </c>
      <c r="F83" s="70">
        <v>43427</v>
      </c>
      <c r="G83" s="32" t="s">
        <v>3317</v>
      </c>
      <c r="H83" s="27" t="s">
        <v>3318</v>
      </c>
      <c r="I83" s="22" t="s">
        <v>3319</v>
      </c>
      <c r="J83" s="28">
        <v>200000</v>
      </c>
      <c r="K83" s="29">
        <v>0.51</v>
      </c>
      <c r="L83" s="30">
        <f>-J83*K83</f>
        <v>-102000</v>
      </c>
      <c r="M83" s="30">
        <v>-205</v>
      </c>
      <c r="N83" s="30">
        <f t="shared" si="8"/>
        <v>-102205</v>
      </c>
      <c r="O83" s="68"/>
    </row>
    <row r="84" spans="2:15" ht="15">
      <c r="B84" s="54" t="s">
        <v>3337</v>
      </c>
      <c r="C84" s="77" t="s">
        <v>3338</v>
      </c>
      <c r="D84" s="32" t="s">
        <v>3305</v>
      </c>
      <c r="E84" s="70">
        <v>43520</v>
      </c>
      <c r="F84" s="70">
        <v>43516</v>
      </c>
      <c r="G84" s="32" t="s">
        <v>3317</v>
      </c>
      <c r="H84" s="27" t="s">
        <v>3318</v>
      </c>
      <c r="I84" s="22" t="s">
        <v>3319</v>
      </c>
      <c r="J84" s="28">
        <v>-925166</v>
      </c>
      <c r="K84" s="29">
        <v>2.14</v>
      </c>
      <c r="L84" s="30">
        <f>-J84*K84</f>
        <v>1979855.2400000002</v>
      </c>
      <c r="M84" s="30">
        <f>-SUM(41.88,3959.71,5.86,1)</f>
        <v>-4008.4500000000003</v>
      </c>
      <c r="N84" s="30">
        <f t="shared" si="8"/>
        <v>1975846.7900000003</v>
      </c>
      <c r="O84" s="68"/>
    </row>
    <row r="85" spans="2:15" ht="15">
      <c r="B85" s="54"/>
      <c r="C85" s="77"/>
      <c r="E85" s="70"/>
      <c r="F85" s="70"/>
      <c r="O85" s="68"/>
    </row>
    <row r="86" spans="2:15" ht="15" thickBot="1">
      <c r="B86" s="54"/>
      <c r="C86" s="77"/>
      <c r="E86" s="70"/>
      <c r="F86" s="70"/>
      <c r="I86" s="47" t="s">
        <v>3314</v>
      </c>
      <c r="J86" s="73">
        <f>SUM(J73:J84)</f>
        <v>6330000</v>
      </c>
      <c r="O86" s="68"/>
    </row>
    <row r="87" spans="2:15" ht="15" thickTop="1">
      <c r="B87" s="54"/>
      <c r="C87" s="77"/>
      <c r="E87" s="70"/>
      <c r="F87" s="70"/>
      <c r="O87" s="68"/>
    </row>
    <row r="88" spans="2:15" ht="15">
      <c r="B88" s="54"/>
      <c r="C88" s="77"/>
      <c r="E88" s="70"/>
      <c r="F88" s="70"/>
      <c r="O88" s="68"/>
    </row>
    <row r="89" spans="2:15" ht="15">
      <c r="B89" s="54"/>
      <c r="C89" s="77"/>
      <c r="E89" s="70"/>
      <c r="F89" s="70"/>
      <c r="O89" s="68"/>
    </row>
    <row r="90" spans="2:15" s="47" customFormat="1" ht="15">
      <c r="B90" s="54" t="s">
        <v>3339</v>
      </c>
      <c r="C90" s="77" t="s">
        <v>3340</v>
      </c>
      <c r="D90" s="55" t="s">
        <v>3300</v>
      </c>
      <c r="E90" s="56">
        <v>43220</v>
      </c>
      <c r="F90" s="56">
        <v>43220</v>
      </c>
      <c r="G90" s="32" t="s">
        <v>3301</v>
      </c>
      <c r="H90" s="27" t="s">
        <v>3302</v>
      </c>
      <c r="I90" s="57" t="s">
        <v>3303</v>
      </c>
      <c r="J90" s="58">
        <v>3162500</v>
      </c>
      <c r="K90" s="59">
        <v>0.31</v>
      </c>
      <c r="L90" s="51">
        <v>0</v>
      </c>
      <c r="M90" s="51">
        <v>0</v>
      </c>
      <c r="N90" s="51">
        <v>0</v>
      </c>
      <c r="O90" s="60" t="s">
        <v>3304</v>
      </c>
    </row>
    <row r="91" spans="2:15" s="47" customFormat="1" ht="15">
      <c r="B91" s="54"/>
      <c r="C91" s="77"/>
      <c r="D91" s="55"/>
      <c r="E91" s="56"/>
      <c r="F91" s="56"/>
      <c r="G91" s="32"/>
      <c r="H91" s="27"/>
      <c r="I91" s="57"/>
      <c r="J91" s="58"/>
      <c r="K91" s="59"/>
      <c r="L91" s="51"/>
      <c r="M91" s="51"/>
      <c r="N91" s="51"/>
      <c r="O91" s="60"/>
    </row>
    <row r="92" spans="2:15" s="47" customFormat="1" ht="15" thickBot="1">
      <c r="B92" s="54"/>
      <c r="C92" s="77"/>
      <c r="D92" s="55"/>
      <c r="E92" s="56"/>
      <c r="F92" s="56"/>
      <c r="G92" s="32"/>
      <c r="H92" s="27"/>
      <c r="I92" s="47" t="s">
        <v>3314</v>
      </c>
      <c r="J92" s="73">
        <f>SUM(J90)</f>
        <v>3162500</v>
      </c>
      <c r="K92" s="59"/>
      <c r="L92" s="51"/>
      <c r="M92" s="51"/>
      <c r="N92" s="51"/>
      <c r="O92" s="60"/>
    </row>
    <row r="93" spans="2:15" s="47" customFormat="1" ht="15" thickTop="1">
      <c r="B93" s="54"/>
      <c r="C93" s="77"/>
      <c r="D93" s="55"/>
      <c r="E93" s="56"/>
      <c r="F93" s="56"/>
      <c r="G93" s="32"/>
      <c r="H93" s="27"/>
      <c r="J93" s="49"/>
      <c r="K93" s="59"/>
      <c r="L93" s="51"/>
      <c r="M93" s="51"/>
      <c r="N93" s="51"/>
      <c r="O93" s="60"/>
    </row>
    <row r="94" spans="2:15" s="47" customFormat="1" ht="15">
      <c r="B94" s="54"/>
      <c r="C94" s="77"/>
      <c r="D94" s="55"/>
      <c r="E94" s="56"/>
      <c r="F94" s="56"/>
      <c r="G94" s="32"/>
      <c r="H94" s="27"/>
      <c r="J94" s="49"/>
      <c r="K94" s="59"/>
      <c r="L94" s="51"/>
      <c r="M94" s="51"/>
      <c r="N94" s="51"/>
      <c r="O94" s="60"/>
    </row>
    <row r="95" spans="2:15" s="47" customFormat="1" ht="15">
      <c r="B95" s="54"/>
      <c r="C95" s="77"/>
      <c r="D95" s="55"/>
      <c r="E95" s="56"/>
      <c r="F95" s="56"/>
      <c r="G95" s="32"/>
      <c r="H95" s="27"/>
      <c r="I95" s="57"/>
      <c r="J95" s="58"/>
      <c r="K95" s="59"/>
      <c r="L95" s="51"/>
      <c r="M95" s="51"/>
      <c r="N95" s="51"/>
      <c r="O95" s="60"/>
    </row>
    <row r="96" spans="2:15" s="47" customFormat="1" ht="15">
      <c r="B96" s="54" t="s">
        <v>3341</v>
      </c>
      <c r="C96" s="77" t="s">
        <v>3342</v>
      </c>
      <c r="D96" s="55" t="s">
        <v>3300</v>
      </c>
      <c r="E96" s="56">
        <v>43220</v>
      </c>
      <c r="F96" s="56">
        <v>43220</v>
      </c>
      <c r="G96" s="32" t="s">
        <v>3301</v>
      </c>
      <c r="H96" s="27" t="s">
        <v>3302</v>
      </c>
      <c r="I96" s="57" t="s">
        <v>3303</v>
      </c>
      <c r="J96" s="58">
        <v>2815000</v>
      </c>
      <c r="K96" s="59">
        <v>1.2</v>
      </c>
      <c r="L96" s="51">
        <v>0</v>
      </c>
      <c r="M96" s="51">
        <v>0</v>
      </c>
      <c r="N96" s="51">
        <v>0</v>
      </c>
      <c r="O96" s="60" t="s">
        <v>3304</v>
      </c>
    </row>
    <row r="97" spans="2:15" s="47" customFormat="1" ht="15">
      <c r="B97" s="54" t="s">
        <v>3341</v>
      </c>
      <c r="C97" s="77" t="s">
        <v>3342</v>
      </c>
      <c r="D97" s="55" t="s">
        <v>3300</v>
      </c>
      <c r="E97" s="56">
        <v>43220</v>
      </c>
      <c r="F97" s="56">
        <v>43220</v>
      </c>
      <c r="G97" s="32" t="s">
        <v>3301</v>
      </c>
      <c r="H97" s="27" t="s">
        <v>3302</v>
      </c>
      <c r="I97" s="57" t="s">
        <v>3303</v>
      </c>
      <c r="J97" s="58">
        <v>145939</v>
      </c>
      <c r="K97" s="59">
        <v>1.2</v>
      </c>
      <c r="L97" s="51">
        <v>0</v>
      </c>
      <c r="M97" s="51">
        <v>0</v>
      </c>
      <c r="N97" s="51">
        <v>0</v>
      </c>
      <c r="O97" s="60" t="s">
        <v>3304</v>
      </c>
    </row>
    <row r="98" spans="2:15" ht="15">
      <c r="B98" s="54" t="s">
        <v>3341</v>
      </c>
      <c r="C98" s="77" t="s">
        <v>3342</v>
      </c>
      <c r="D98" s="32" t="s">
        <v>3305</v>
      </c>
      <c r="E98" s="70">
        <v>43550</v>
      </c>
      <c r="F98" s="70">
        <v>43546</v>
      </c>
      <c r="G98" s="32" t="s">
        <v>3323</v>
      </c>
      <c r="H98" s="27" t="s">
        <v>3326</v>
      </c>
      <c r="I98" s="22" t="s">
        <v>3327</v>
      </c>
      <c r="J98" s="82">
        <v>18191</v>
      </c>
      <c r="K98" s="83">
        <v>1.25</v>
      </c>
      <c r="L98" s="30">
        <f>-J98*K98</f>
        <v>-22738.75</v>
      </c>
      <c r="M98" s="30">
        <f>-SUM(45.48+1)</f>
        <v>-46.48</v>
      </c>
      <c r="N98" s="30">
        <f>L98+M98</f>
        <v>-22785.23</v>
      </c>
      <c r="O98" s="68"/>
    </row>
    <row r="99" spans="2:15" ht="15">
      <c r="B99" s="54" t="s">
        <v>3341</v>
      </c>
      <c r="C99" s="77" t="s">
        <v>3342</v>
      </c>
      <c r="D99" s="32" t="s">
        <v>3305</v>
      </c>
      <c r="E99" s="70">
        <v>43557</v>
      </c>
      <c r="F99" s="70">
        <v>43553</v>
      </c>
      <c r="G99" s="32" t="s">
        <v>3323</v>
      </c>
      <c r="H99" s="27" t="s">
        <v>3326</v>
      </c>
      <c r="I99" s="22" t="s">
        <v>3327</v>
      </c>
      <c r="J99" s="82">
        <v>52155</v>
      </c>
      <c r="K99" s="83">
        <v>1.319565</v>
      </c>
      <c r="L99" s="30">
        <f>-J99*K99</f>
        <v>-68821.91257500001</v>
      </c>
      <c r="M99" s="30">
        <f>-SUM(137.65+1)</f>
        <v>-138.65</v>
      </c>
      <c r="N99" s="30">
        <f>L99+M99</f>
        <v>-68960.562575</v>
      </c>
      <c r="O99" s="68"/>
    </row>
    <row r="100" spans="2:15" ht="15">
      <c r="B100" s="54" t="s">
        <v>3341</v>
      </c>
      <c r="C100" s="77" t="s">
        <v>3342</v>
      </c>
      <c r="D100" s="32" t="s">
        <v>3305</v>
      </c>
      <c r="E100" s="70">
        <v>43564</v>
      </c>
      <c r="F100" s="70">
        <v>43560</v>
      </c>
      <c r="G100" s="32" t="s">
        <v>3323</v>
      </c>
      <c r="H100" s="27" t="s">
        <v>3326</v>
      </c>
      <c r="I100" s="22" t="s">
        <v>3327</v>
      </c>
      <c r="J100" s="82">
        <v>31747</v>
      </c>
      <c r="K100" s="83">
        <v>1.35</v>
      </c>
      <c r="L100" s="30">
        <f>-J100*K100</f>
        <v>-42858.450000000004</v>
      </c>
      <c r="M100" s="30">
        <f>-SUM(85.72+1)</f>
        <v>-86.72</v>
      </c>
      <c r="N100" s="30">
        <f>L100+M100</f>
        <v>-42945.170000000006</v>
      </c>
      <c r="O100" s="68"/>
    </row>
    <row r="101" spans="2:15" s="61" customFormat="1" ht="15">
      <c r="B101" s="54" t="s">
        <v>3343</v>
      </c>
      <c r="C101" s="61" t="s">
        <v>3342</v>
      </c>
      <c r="D101" s="62" t="s">
        <v>3305</v>
      </c>
      <c r="E101" s="63">
        <v>43752</v>
      </c>
      <c r="F101" s="63">
        <v>43748</v>
      </c>
      <c r="G101" s="62" t="s">
        <v>3323</v>
      </c>
      <c r="H101" s="64" t="s">
        <v>3302</v>
      </c>
      <c r="I101" s="22" t="s">
        <v>3303</v>
      </c>
      <c r="J101" s="84">
        <v>62109</v>
      </c>
      <c r="K101" s="85">
        <v>1.1</v>
      </c>
      <c r="L101" s="67">
        <f>-J101*K101</f>
        <v>-68319.90000000001</v>
      </c>
      <c r="M101" s="67">
        <f>-SUM(43.95,136.64,6.15,1)</f>
        <v>-187.73999999999998</v>
      </c>
      <c r="N101" s="67">
        <f>L101+M101</f>
        <v>-68507.64000000001</v>
      </c>
      <c r="O101" s="68"/>
    </row>
    <row r="102" spans="2:15" s="61" customFormat="1" ht="15">
      <c r="B102" s="54" t="s">
        <v>3343</v>
      </c>
      <c r="C102" s="61" t="s">
        <v>3342</v>
      </c>
      <c r="D102" s="62" t="s">
        <v>3305</v>
      </c>
      <c r="E102" s="63">
        <v>43759</v>
      </c>
      <c r="F102" s="63">
        <v>43755</v>
      </c>
      <c r="G102" s="62" t="s">
        <v>3344</v>
      </c>
      <c r="H102" s="64" t="s">
        <v>3312</v>
      </c>
      <c r="I102" s="22" t="s">
        <v>3313</v>
      </c>
      <c r="J102" s="86">
        <v>166568</v>
      </c>
      <c r="K102" s="66">
        <v>1.11</v>
      </c>
      <c r="L102" s="67">
        <f>-J102*K102</f>
        <v>-184890.48</v>
      </c>
      <c r="M102" s="67">
        <f>-SUM(43.15,369.78,6.04,1)</f>
        <v>-419.96999999999997</v>
      </c>
      <c r="N102" s="67">
        <f>L102+M102</f>
        <v>-185310.45</v>
      </c>
      <c r="O102" s="68"/>
    </row>
    <row r="103" spans="2:15" s="47" customFormat="1" ht="15">
      <c r="B103" s="54"/>
      <c r="C103" s="77"/>
      <c r="D103" s="55"/>
      <c r="E103" s="56"/>
      <c r="F103" s="56"/>
      <c r="G103" s="32"/>
      <c r="H103" s="27"/>
      <c r="I103" s="57"/>
      <c r="J103" s="58"/>
      <c r="K103" s="59"/>
      <c r="L103" s="51"/>
      <c r="M103" s="51"/>
      <c r="N103" s="51"/>
      <c r="O103" s="60"/>
    </row>
    <row r="104" spans="2:15" s="47" customFormat="1" ht="15" thickBot="1">
      <c r="B104" s="54"/>
      <c r="C104" s="77"/>
      <c r="D104" s="55"/>
      <c r="E104" s="56"/>
      <c r="F104" s="56"/>
      <c r="G104" s="32"/>
      <c r="H104" s="27"/>
      <c r="I104" s="47" t="s">
        <v>3314</v>
      </c>
      <c r="J104" s="73">
        <f>SUM(J96:J102)</f>
        <v>3291709</v>
      </c>
      <c r="K104" s="59"/>
      <c r="L104" s="51"/>
      <c r="M104" s="51"/>
      <c r="N104" s="51"/>
      <c r="O104" s="60"/>
    </row>
    <row r="105" spans="2:15" s="47" customFormat="1" ht="15" thickTop="1">
      <c r="B105" s="54"/>
      <c r="C105" s="77"/>
      <c r="D105" s="55"/>
      <c r="E105" s="56"/>
      <c r="F105" s="56"/>
      <c r="G105" s="32"/>
      <c r="H105" s="27"/>
      <c r="J105" s="49"/>
      <c r="K105" s="59"/>
      <c r="L105" s="51"/>
      <c r="M105" s="51"/>
      <c r="N105" s="51"/>
      <c r="O105" s="60"/>
    </row>
    <row r="106" spans="2:15" s="47" customFormat="1" ht="15">
      <c r="B106" s="54"/>
      <c r="C106" s="77"/>
      <c r="D106" s="55"/>
      <c r="E106" s="56"/>
      <c r="F106" s="56"/>
      <c r="G106" s="32"/>
      <c r="H106" s="27"/>
      <c r="J106" s="49"/>
      <c r="K106" s="59"/>
      <c r="L106" s="51"/>
      <c r="M106" s="51"/>
      <c r="N106" s="51"/>
      <c r="O106" s="60"/>
    </row>
    <row r="107" spans="2:15" s="47" customFormat="1" ht="15">
      <c r="B107" s="54"/>
      <c r="C107" s="77"/>
      <c r="D107" s="55"/>
      <c r="E107" s="56"/>
      <c r="F107" s="56"/>
      <c r="G107" s="32"/>
      <c r="H107" s="27"/>
      <c r="J107" s="49"/>
      <c r="K107" s="59"/>
      <c r="L107" s="51"/>
      <c r="M107" s="51"/>
      <c r="N107" s="51"/>
      <c r="O107" s="60"/>
    </row>
    <row r="108" spans="2:15" s="47" customFormat="1" ht="15">
      <c r="B108" s="54" t="s">
        <v>3345</v>
      </c>
      <c r="C108" s="77" t="s">
        <v>3346</v>
      </c>
      <c r="D108" s="55" t="s">
        <v>3300</v>
      </c>
      <c r="E108" s="56">
        <v>43220</v>
      </c>
      <c r="F108" s="56">
        <v>43220</v>
      </c>
      <c r="G108" s="32" t="s">
        <v>3301</v>
      </c>
      <c r="H108" s="27" t="s">
        <v>3302</v>
      </c>
      <c r="I108" s="57" t="s">
        <v>3303</v>
      </c>
      <c r="J108" s="58">
        <v>929390</v>
      </c>
      <c r="K108" s="59">
        <v>1.15</v>
      </c>
      <c r="L108" s="51">
        <v>0</v>
      </c>
      <c r="M108" s="51">
        <v>0</v>
      </c>
      <c r="N108" s="51">
        <v>0</v>
      </c>
      <c r="O108" s="60" t="s">
        <v>3304</v>
      </c>
    </row>
    <row r="109" spans="2:15" ht="15">
      <c r="B109" s="54" t="s">
        <v>3347</v>
      </c>
      <c r="C109" s="77" t="s">
        <v>3346</v>
      </c>
      <c r="D109" s="32" t="s">
        <v>3305</v>
      </c>
      <c r="E109" s="70">
        <v>43259</v>
      </c>
      <c r="F109" s="70">
        <v>43257</v>
      </c>
      <c r="G109" s="32" t="s">
        <v>3323</v>
      </c>
      <c r="H109" s="27" t="s">
        <v>3326</v>
      </c>
      <c r="I109" s="22" t="s">
        <v>3327</v>
      </c>
      <c r="J109" s="28">
        <v>73443</v>
      </c>
      <c r="K109" s="29">
        <v>1.13</v>
      </c>
      <c r="L109" s="30">
        <f>-J109*K109</f>
        <v>-82990.59</v>
      </c>
      <c r="M109" s="30">
        <v>-166.98</v>
      </c>
      <c r="N109" s="30">
        <f aca="true" t="shared" si="9" ref="N109:N115">L109+M109</f>
        <v>-83157.56999999999</v>
      </c>
      <c r="O109" s="68"/>
    </row>
    <row r="110" spans="2:15" ht="15">
      <c r="B110" s="54" t="s">
        <v>3345</v>
      </c>
      <c r="C110" s="77" t="s">
        <v>3346</v>
      </c>
      <c r="D110" s="32" t="s">
        <v>3348</v>
      </c>
      <c r="E110" s="70">
        <v>43326</v>
      </c>
      <c r="F110" s="70">
        <v>43322</v>
      </c>
      <c r="G110" s="32" t="s">
        <v>3301</v>
      </c>
      <c r="H110" s="27" t="s">
        <v>3302</v>
      </c>
      <c r="I110" s="22" t="s">
        <v>3303</v>
      </c>
      <c r="J110" s="28">
        <v>270000</v>
      </c>
      <c r="K110" s="29">
        <v>1.168907</v>
      </c>
      <c r="M110" s="30">
        <v>0</v>
      </c>
      <c r="N110" s="30">
        <f t="shared" si="9"/>
        <v>0</v>
      </c>
      <c r="O110" s="22" t="s">
        <v>3349</v>
      </c>
    </row>
    <row r="111" spans="2:15" ht="15">
      <c r="B111" s="54" t="s">
        <v>3345</v>
      </c>
      <c r="C111" s="77" t="s">
        <v>3346</v>
      </c>
      <c r="D111" s="32" t="s">
        <v>3305</v>
      </c>
      <c r="E111" s="70">
        <v>43329</v>
      </c>
      <c r="F111" s="70">
        <v>43327</v>
      </c>
      <c r="G111" s="32" t="s">
        <v>3344</v>
      </c>
      <c r="H111" s="27" t="s">
        <v>3350</v>
      </c>
      <c r="I111" s="22" t="s">
        <v>3351</v>
      </c>
      <c r="J111" s="28">
        <v>130000</v>
      </c>
      <c r="K111" s="29">
        <v>1.16</v>
      </c>
      <c r="L111" s="30">
        <f>-J111*K111</f>
        <v>-150800</v>
      </c>
      <c r="M111" s="30">
        <v>-302.6</v>
      </c>
      <c r="N111" s="30">
        <f t="shared" si="9"/>
        <v>-151102.6</v>
      </c>
      <c r="O111" s="68"/>
    </row>
    <row r="112" spans="2:15" ht="15">
      <c r="B112" s="54" t="s">
        <v>3345</v>
      </c>
      <c r="C112" s="77" t="s">
        <v>3346</v>
      </c>
      <c r="D112" s="32" t="s">
        <v>3348</v>
      </c>
      <c r="E112" s="70">
        <v>43329</v>
      </c>
      <c r="F112" s="70">
        <v>43327</v>
      </c>
      <c r="G112" s="32" t="s">
        <v>3301</v>
      </c>
      <c r="H112" s="27" t="s">
        <v>3302</v>
      </c>
      <c r="I112" s="22" t="s">
        <v>3303</v>
      </c>
      <c r="J112" s="28">
        <v>10000</v>
      </c>
      <c r="K112" s="29">
        <v>1.16</v>
      </c>
      <c r="M112" s="30">
        <v>0</v>
      </c>
      <c r="N112" s="30">
        <f t="shared" si="9"/>
        <v>0</v>
      </c>
      <c r="O112" s="22" t="s">
        <v>3349</v>
      </c>
    </row>
    <row r="113" spans="2:15" ht="15">
      <c r="B113" s="54" t="s">
        <v>3345</v>
      </c>
      <c r="C113" s="77" t="s">
        <v>3346</v>
      </c>
      <c r="D113" s="32" t="s">
        <v>3305</v>
      </c>
      <c r="E113" s="70">
        <v>43347</v>
      </c>
      <c r="F113" s="70">
        <v>43343</v>
      </c>
      <c r="G113" s="32" t="s">
        <v>3323</v>
      </c>
      <c r="H113" s="27" t="s">
        <v>3326</v>
      </c>
      <c r="I113" s="22" t="s">
        <v>3327</v>
      </c>
      <c r="J113" s="28">
        <v>220000</v>
      </c>
      <c r="K113" s="29">
        <v>1.08</v>
      </c>
      <c r="L113" s="30">
        <f>-J113*K113</f>
        <v>-237600.00000000003</v>
      </c>
      <c r="M113" s="30">
        <v>-476.2</v>
      </c>
      <c r="N113" s="30">
        <f t="shared" si="9"/>
        <v>-238076.20000000004</v>
      </c>
      <c r="O113" s="68"/>
    </row>
    <row r="114" spans="2:15" ht="15">
      <c r="B114" s="54" t="s">
        <v>3345</v>
      </c>
      <c r="C114" s="77" t="s">
        <v>3346</v>
      </c>
      <c r="D114" s="32" t="s">
        <v>3305</v>
      </c>
      <c r="E114" s="70">
        <v>43559</v>
      </c>
      <c r="F114" s="70">
        <v>43557</v>
      </c>
      <c r="G114" s="32" t="s">
        <v>3352</v>
      </c>
      <c r="H114" s="27" t="s">
        <v>90</v>
      </c>
      <c r="I114" s="22" t="s">
        <v>3353</v>
      </c>
      <c r="J114" s="28">
        <v>727272</v>
      </c>
      <c r="K114" s="29">
        <v>0.55</v>
      </c>
      <c r="L114" s="30">
        <f>-J114*K114</f>
        <v>-399999.60000000003</v>
      </c>
      <c r="M114" s="30">
        <f>-SUM(800+1)</f>
        <v>-801</v>
      </c>
      <c r="N114" s="30">
        <f t="shared" si="9"/>
        <v>-400800.60000000003</v>
      </c>
      <c r="O114" s="68"/>
    </row>
    <row r="115" spans="2:15" ht="15">
      <c r="B115" s="54" t="s">
        <v>3345</v>
      </c>
      <c r="C115" s="77" t="s">
        <v>3346</v>
      </c>
      <c r="D115" s="32" t="s">
        <v>3305</v>
      </c>
      <c r="E115" s="70">
        <v>43620</v>
      </c>
      <c r="F115" s="70">
        <v>43616</v>
      </c>
      <c r="G115" s="32" t="s">
        <v>3344</v>
      </c>
      <c r="H115" s="27" t="s">
        <v>3350</v>
      </c>
      <c r="I115" s="22" t="s">
        <v>3306</v>
      </c>
      <c r="J115" s="28">
        <v>773334</v>
      </c>
      <c r="K115" s="29">
        <v>0.6</v>
      </c>
      <c r="L115" s="30">
        <f>-J115*K115</f>
        <v>-464000.39999999997</v>
      </c>
      <c r="M115" s="30">
        <f>-SUM(44.08+6.17)</f>
        <v>-50.25</v>
      </c>
      <c r="N115" s="30">
        <f t="shared" si="9"/>
        <v>-464050.64999999997</v>
      </c>
      <c r="O115" s="68"/>
    </row>
    <row r="116" spans="2:15" s="47" customFormat="1" ht="15">
      <c r="B116" s="54"/>
      <c r="C116" s="77"/>
      <c r="D116" s="55"/>
      <c r="E116" s="56"/>
      <c r="F116" s="56"/>
      <c r="G116" s="32"/>
      <c r="H116" s="27"/>
      <c r="J116" s="49"/>
      <c r="K116" s="59"/>
      <c r="L116" s="51"/>
      <c r="M116" s="51"/>
      <c r="N116" s="51"/>
      <c r="O116" s="60"/>
    </row>
    <row r="117" spans="2:15" s="47" customFormat="1" ht="15" thickBot="1">
      <c r="B117" s="54"/>
      <c r="C117" s="77"/>
      <c r="D117" s="55"/>
      <c r="E117" s="56"/>
      <c r="F117" s="56"/>
      <c r="G117" s="32"/>
      <c r="H117" s="27"/>
      <c r="I117" s="47" t="s">
        <v>3314</v>
      </c>
      <c r="J117" s="73">
        <f>SUM(J108:J115)</f>
        <v>3133439</v>
      </c>
      <c r="K117" s="59"/>
      <c r="L117" s="51"/>
      <c r="M117" s="51"/>
      <c r="N117" s="51"/>
      <c r="O117" s="60"/>
    </row>
    <row r="118" spans="2:15" s="47" customFormat="1" ht="15" thickTop="1">
      <c r="B118" s="54"/>
      <c r="C118" s="77"/>
      <c r="D118" s="55"/>
      <c r="E118" s="56"/>
      <c r="F118" s="56"/>
      <c r="G118" s="32"/>
      <c r="H118" s="27"/>
      <c r="J118" s="49"/>
      <c r="K118" s="59"/>
      <c r="L118" s="51"/>
      <c r="M118" s="51"/>
      <c r="N118" s="51"/>
      <c r="O118" s="60"/>
    </row>
    <row r="119" spans="2:15" s="47" customFormat="1" ht="15">
      <c r="B119" s="54"/>
      <c r="C119" s="77"/>
      <c r="D119" s="55"/>
      <c r="E119" s="56"/>
      <c r="F119" s="56"/>
      <c r="G119" s="32"/>
      <c r="H119" s="27"/>
      <c r="J119" s="49"/>
      <c r="K119" s="59"/>
      <c r="L119" s="51"/>
      <c r="M119" s="51"/>
      <c r="N119" s="51"/>
      <c r="O119" s="60"/>
    </row>
    <row r="120" spans="2:15" s="47" customFormat="1" ht="15">
      <c r="B120" s="54"/>
      <c r="C120" s="77"/>
      <c r="D120" s="55"/>
      <c r="E120" s="56"/>
      <c r="F120" s="56"/>
      <c r="G120" s="32"/>
      <c r="H120" s="27"/>
      <c r="J120" s="49"/>
      <c r="K120" s="59"/>
      <c r="L120" s="51"/>
      <c r="M120" s="51"/>
      <c r="N120" s="51"/>
      <c r="O120" s="60"/>
    </row>
    <row r="121" spans="2:15" s="47" customFormat="1" ht="15">
      <c r="B121" s="54" t="s">
        <v>3354</v>
      </c>
      <c r="C121" s="77" t="s">
        <v>509</v>
      </c>
      <c r="D121" s="55" t="s">
        <v>3300</v>
      </c>
      <c r="E121" s="56">
        <v>43220</v>
      </c>
      <c r="F121" s="56">
        <v>43220</v>
      </c>
      <c r="G121" s="32" t="s">
        <v>3301</v>
      </c>
      <c r="H121" s="27" t="s">
        <v>3302</v>
      </c>
      <c r="I121" s="57" t="s">
        <v>3303</v>
      </c>
      <c r="J121" s="58">
        <v>5611423</v>
      </c>
      <c r="K121" s="59">
        <v>2.84</v>
      </c>
      <c r="L121" s="51">
        <v>0</v>
      </c>
      <c r="M121" s="51">
        <v>0</v>
      </c>
      <c r="N121" s="51">
        <v>0</v>
      </c>
      <c r="O121" s="60" t="s">
        <v>3304</v>
      </c>
    </row>
    <row r="122" spans="2:15" s="47" customFormat="1" ht="15">
      <c r="B122" s="54" t="s">
        <v>3354</v>
      </c>
      <c r="C122" s="77" t="s">
        <v>509</v>
      </c>
      <c r="D122" s="55" t="s">
        <v>3300</v>
      </c>
      <c r="E122" s="56">
        <v>43220</v>
      </c>
      <c r="F122" s="56">
        <v>43220</v>
      </c>
      <c r="G122" s="32" t="s">
        <v>3301</v>
      </c>
      <c r="H122" s="27" t="s">
        <v>3302</v>
      </c>
      <c r="I122" s="57" t="s">
        <v>3303</v>
      </c>
      <c r="J122" s="58">
        <v>1501538</v>
      </c>
      <c r="K122" s="59">
        <v>2.84</v>
      </c>
      <c r="L122" s="51">
        <v>0</v>
      </c>
      <c r="M122" s="51">
        <v>0</v>
      </c>
      <c r="N122" s="51">
        <v>0</v>
      </c>
      <c r="O122" s="60" t="s">
        <v>3304</v>
      </c>
    </row>
    <row r="123" spans="2:15" ht="15">
      <c r="B123" s="54" t="s">
        <v>3354</v>
      </c>
      <c r="C123" s="77" t="s">
        <v>509</v>
      </c>
      <c r="D123" s="32" t="s">
        <v>3311</v>
      </c>
      <c r="E123" s="70">
        <v>43329</v>
      </c>
      <c r="F123" s="70">
        <v>43327</v>
      </c>
      <c r="G123" s="32" t="s">
        <v>3317</v>
      </c>
      <c r="H123" s="27" t="s">
        <v>3318</v>
      </c>
      <c r="I123" s="22" t="s">
        <v>3319</v>
      </c>
      <c r="J123" s="28">
        <v>-3000000</v>
      </c>
      <c r="K123" s="29">
        <v>3.2</v>
      </c>
      <c r="L123" s="30">
        <f>-J123*K123</f>
        <v>9600000</v>
      </c>
      <c r="M123" s="30">
        <v>-19201</v>
      </c>
      <c r="N123" s="30">
        <f aca="true" t="shared" si="10" ref="N123:N140">L123+M123</f>
        <v>9580799</v>
      </c>
      <c r="O123" s="68"/>
    </row>
    <row r="124" spans="2:15" ht="15">
      <c r="B124" s="54" t="s">
        <v>3354</v>
      </c>
      <c r="C124" s="77" t="s">
        <v>509</v>
      </c>
      <c r="D124" s="32" t="s">
        <v>3311</v>
      </c>
      <c r="E124" s="70">
        <v>43349</v>
      </c>
      <c r="F124" s="70">
        <v>43347</v>
      </c>
      <c r="G124" s="32" t="s">
        <v>3323</v>
      </c>
      <c r="H124" s="27" t="s">
        <v>3326</v>
      </c>
      <c r="I124" s="22" t="s">
        <v>3327</v>
      </c>
      <c r="J124" s="28">
        <v>-940000</v>
      </c>
      <c r="K124" s="29">
        <v>3.7</v>
      </c>
      <c r="L124" s="30">
        <f>-(J124*K124)</f>
        <v>3478000</v>
      </c>
      <c r="M124" s="30">
        <f>-(45.05+6.31+6956+1)</f>
        <v>-7008.36</v>
      </c>
      <c r="N124" s="30">
        <f t="shared" si="10"/>
        <v>3470991.64</v>
      </c>
      <c r="O124" s="68"/>
    </row>
    <row r="125" spans="2:15" ht="15">
      <c r="B125" s="54" t="s">
        <v>3355</v>
      </c>
      <c r="C125" s="77" t="s">
        <v>509</v>
      </c>
      <c r="D125" s="32" t="s">
        <v>3305</v>
      </c>
      <c r="E125" s="70">
        <v>43516</v>
      </c>
      <c r="F125" s="70">
        <v>43518</v>
      </c>
      <c r="G125" s="32" t="s">
        <v>3317</v>
      </c>
      <c r="H125" s="27" t="s">
        <v>3318</v>
      </c>
      <c r="I125" s="22" t="s">
        <v>3319</v>
      </c>
      <c r="J125" s="28">
        <v>420000</v>
      </c>
      <c r="K125" s="29">
        <v>2.2</v>
      </c>
      <c r="L125" s="30">
        <f aca="true" t="shared" si="11" ref="L125:L140">-J125*K125</f>
        <v>-924000.0000000001</v>
      </c>
      <c r="M125" s="30">
        <f>-SUM(462+1)</f>
        <v>-463</v>
      </c>
      <c r="N125" s="30">
        <f t="shared" si="10"/>
        <v>-924463.0000000001</v>
      </c>
      <c r="O125" s="68"/>
    </row>
    <row r="126" spans="2:15" ht="15">
      <c r="B126" s="54" t="s">
        <v>3355</v>
      </c>
      <c r="C126" s="77" t="s">
        <v>509</v>
      </c>
      <c r="D126" s="32" t="s">
        <v>3311</v>
      </c>
      <c r="E126" s="70">
        <v>43563</v>
      </c>
      <c r="F126" s="70">
        <v>43559</v>
      </c>
      <c r="G126" s="32" t="s">
        <v>3317</v>
      </c>
      <c r="H126" s="27" t="s">
        <v>3318</v>
      </c>
      <c r="I126" s="22" t="s">
        <v>3319</v>
      </c>
      <c r="J126" s="28">
        <v>-220000</v>
      </c>
      <c r="K126" s="29">
        <v>3.1</v>
      </c>
      <c r="L126" s="30">
        <f t="shared" si="11"/>
        <v>682000</v>
      </c>
      <c r="M126" s="30">
        <f>-SUM(1364)</f>
        <v>-1364</v>
      </c>
      <c r="N126" s="30">
        <f t="shared" si="10"/>
        <v>680636</v>
      </c>
      <c r="O126" s="68"/>
    </row>
    <row r="127" spans="2:15" ht="15">
      <c r="B127" s="54" t="s">
        <v>3355</v>
      </c>
      <c r="C127" s="77" t="s">
        <v>509</v>
      </c>
      <c r="D127" s="32" t="s">
        <v>3311</v>
      </c>
      <c r="E127" s="70">
        <v>43663</v>
      </c>
      <c r="F127" s="70">
        <v>43661</v>
      </c>
      <c r="G127" s="32" t="s">
        <v>3301</v>
      </c>
      <c r="H127" s="27" t="s">
        <v>3302</v>
      </c>
      <c r="I127" s="22" t="s">
        <v>3303</v>
      </c>
      <c r="J127" s="28">
        <v>-1001026</v>
      </c>
      <c r="K127" s="29">
        <v>3.25</v>
      </c>
      <c r="L127" s="30">
        <f t="shared" si="11"/>
        <v>3253334.5</v>
      </c>
      <c r="M127" s="30">
        <f>-6506.67-1</f>
        <v>-6507.67</v>
      </c>
      <c r="N127" s="30">
        <f t="shared" si="10"/>
        <v>3246826.83</v>
      </c>
      <c r="O127" s="68"/>
    </row>
    <row r="128" spans="2:15" ht="15">
      <c r="B128" s="54" t="s">
        <v>3355</v>
      </c>
      <c r="C128" s="77" t="s">
        <v>509</v>
      </c>
      <c r="D128" s="32" t="s">
        <v>3311</v>
      </c>
      <c r="E128" s="70">
        <v>43720</v>
      </c>
      <c r="F128" s="70">
        <v>43714</v>
      </c>
      <c r="G128" s="32" t="s">
        <v>3301</v>
      </c>
      <c r="H128" s="27" t="s">
        <v>3302</v>
      </c>
      <c r="I128" s="22" t="s">
        <v>3303</v>
      </c>
      <c r="J128" s="28">
        <v>-71950</v>
      </c>
      <c r="K128" s="29">
        <v>3.3265624</v>
      </c>
      <c r="L128" s="30">
        <f t="shared" si="11"/>
        <v>239346.16468</v>
      </c>
      <c r="M128" s="76">
        <f>-(SUM(44.69,478.69,6.26,1))</f>
        <v>-530.64</v>
      </c>
      <c r="N128" s="30">
        <f t="shared" si="10"/>
        <v>238815.52467999997</v>
      </c>
      <c r="O128" s="68"/>
    </row>
    <row r="129" spans="2:15" ht="15">
      <c r="B129" s="54" t="s">
        <v>3355</v>
      </c>
      <c r="C129" s="77" t="s">
        <v>509</v>
      </c>
      <c r="D129" s="32" t="s">
        <v>3311</v>
      </c>
      <c r="E129" s="87">
        <v>43798</v>
      </c>
      <c r="F129" s="70">
        <v>43796</v>
      </c>
      <c r="G129" s="32" t="s">
        <v>3301</v>
      </c>
      <c r="H129" s="27" t="s">
        <v>3302</v>
      </c>
      <c r="I129" s="22" t="s">
        <v>3303</v>
      </c>
      <c r="J129" s="28">
        <v>-82102</v>
      </c>
      <c r="K129" s="22">
        <v>3.205</v>
      </c>
      <c r="L129" s="30">
        <f t="shared" si="11"/>
        <v>263136.91000000003</v>
      </c>
      <c r="M129" s="30">
        <f>-SUM(42.57,526.27,5.96,1)</f>
        <v>-575.8000000000001</v>
      </c>
      <c r="N129" s="67">
        <f t="shared" si="10"/>
        <v>262561.11000000004</v>
      </c>
      <c r="O129" s="88"/>
    </row>
    <row r="130" spans="2:15" ht="15">
      <c r="B130" s="54" t="s">
        <v>3355</v>
      </c>
      <c r="C130" s="77" t="s">
        <v>509</v>
      </c>
      <c r="D130" s="32" t="s">
        <v>3311</v>
      </c>
      <c r="E130" s="87">
        <v>43801</v>
      </c>
      <c r="F130" s="70">
        <v>43797</v>
      </c>
      <c r="G130" s="32" t="s">
        <v>3301</v>
      </c>
      <c r="H130" s="27" t="s">
        <v>3302</v>
      </c>
      <c r="I130" s="22" t="s">
        <v>3303</v>
      </c>
      <c r="J130" s="28">
        <v>-245827</v>
      </c>
      <c r="K130" s="22">
        <v>3.205</v>
      </c>
      <c r="L130" s="30">
        <f t="shared" si="11"/>
        <v>787875.535</v>
      </c>
      <c r="M130" s="30">
        <f>-SUM(42.65,1575.75,5.97,1)</f>
        <v>-1625.3700000000001</v>
      </c>
      <c r="N130" s="67">
        <f t="shared" si="10"/>
        <v>786250.165</v>
      </c>
      <c r="O130" s="88"/>
    </row>
    <row r="131" spans="2:15" ht="15">
      <c r="B131" s="54" t="s">
        <v>3355</v>
      </c>
      <c r="C131" s="77" t="s">
        <v>509</v>
      </c>
      <c r="D131" s="32" t="s">
        <v>3311</v>
      </c>
      <c r="E131" s="70">
        <v>43805</v>
      </c>
      <c r="F131" s="70">
        <v>43803</v>
      </c>
      <c r="G131" s="32" t="s">
        <v>3301</v>
      </c>
      <c r="H131" s="27" t="s">
        <v>3302</v>
      </c>
      <c r="I131" s="22" t="s">
        <v>3303</v>
      </c>
      <c r="J131" s="28">
        <v>-196262</v>
      </c>
      <c r="K131" s="29">
        <v>3.2351</v>
      </c>
      <c r="L131" s="30">
        <f t="shared" si="11"/>
        <v>634927.1962</v>
      </c>
      <c r="M131" s="30">
        <f>-SUM(42.24,1269.85,5.91,1)</f>
        <v>-1319</v>
      </c>
      <c r="N131" s="67">
        <f t="shared" si="10"/>
        <v>633608.1962</v>
      </c>
      <c r="O131" s="71"/>
    </row>
    <row r="132" spans="2:15" ht="15">
      <c r="B132" s="54" t="s">
        <v>3355</v>
      </c>
      <c r="C132" s="22" t="s">
        <v>509</v>
      </c>
      <c r="D132" s="32" t="s">
        <v>3311</v>
      </c>
      <c r="E132" s="70">
        <v>43810</v>
      </c>
      <c r="F132" s="70">
        <v>43808</v>
      </c>
      <c r="G132" s="32" t="s">
        <v>3317</v>
      </c>
      <c r="H132" s="27" t="s">
        <v>3318</v>
      </c>
      <c r="I132" s="22" t="s">
        <v>3319</v>
      </c>
      <c r="J132" s="28">
        <v>-26744</v>
      </c>
      <c r="K132" s="29">
        <v>3.24</v>
      </c>
      <c r="L132" s="30">
        <f t="shared" si="11"/>
        <v>86650.56000000001</v>
      </c>
      <c r="M132" s="30">
        <f>-SUM(42.25,173.3,5.91,1)</f>
        <v>-222.46</v>
      </c>
      <c r="N132" s="67">
        <f t="shared" si="10"/>
        <v>86428.1</v>
      </c>
      <c r="O132" s="72"/>
    </row>
    <row r="133" spans="2:15" ht="15">
      <c r="B133" s="54" t="s">
        <v>3355</v>
      </c>
      <c r="C133" s="22" t="s">
        <v>509</v>
      </c>
      <c r="D133" s="32" t="s">
        <v>3311</v>
      </c>
      <c r="E133" s="70">
        <v>43815</v>
      </c>
      <c r="F133" s="70">
        <v>43811</v>
      </c>
      <c r="G133" s="32" t="s">
        <v>3301</v>
      </c>
      <c r="H133" s="27" t="s">
        <v>3302</v>
      </c>
      <c r="I133" s="22" t="s">
        <v>3303</v>
      </c>
      <c r="J133" s="28">
        <v>-27388</v>
      </c>
      <c r="K133" s="29">
        <v>3.24</v>
      </c>
      <c r="L133" s="30">
        <f t="shared" si="11"/>
        <v>88737.12000000001</v>
      </c>
      <c r="M133" s="30">
        <f>-SUM(41.67,177.47,5.83,1)</f>
        <v>-225.97</v>
      </c>
      <c r="N133" s="67">
        <f t="shared" si="10"/>
        <v>88511.15000000001</v>
      </c>
      <c r="O133" s="72"/>
    </row>
    <row r="134" spans="2:15" ht="15">
      <c r="B134" s="54" t="s">
        <v>3355</v>
      </c>
      <c r="C134" s="22" t="s">
        <v>509</v>
      </c>
      <c r="D134" s="32" t="s">
        <v>3311</v>
      </c>
      <c r="E134" s="70">
        <v>43819</v>
      </c>
      <c r="F134" s="70">
        <v>43817</v>
      </c>
      <c r="G134" s="32" t="s">
        <v>3301</v>
      </c>
      <c r="H134" s="27" t="s">
        <v>3302</v>
      </c>
      <c r="I134" s="22" t="s">
        <v>3303</v>
      </c>
      <c r="J134" s="28">
        <v>-162437</v>
      </c>
      <c r="K134" s="29">
        <v>3.14</v>
      </c>
      <c r="L134" s="30">
        <f t="shared" si="11"/>
        <v>510052.18</v>
      </c>
      <c r="M134" s="30">
        <f>-SUM(42.6+1020.1+5.96+1)</f>
        <v>-1069.66</v>
      </c>
      <c r="N134" s="67">
        <f t="shared" si="10"/>
        <v>508982.52</v>
      </c>
      <c r="O134" s="72"/>
    </row>
    <row r="135" spans="2:15" ht="15">
      <c r="B135" s="54" t="s">
        <v>3355</v>
      </c>
      <c r="C135" s="22" t="s">
        <v>509</v>
      </c>
      <c r="D135" s="32" t="s">
        <v>3311</v>
      </c>
      <c r="E135" s="70">
        <v>43822</v>
      </c>
      <c r="F135" s="70">
        <v>43818</v>
      </c>
      <c r="G135" s="32" t="s">
        <v>3301</v>
      </c>
      <c r="H135" s="27" t="s">
        <v>3302</v>
      </c>
      <c r="I135" s="22" t="s">
        <v>3303</v>
      </c>
      <c r="J135" s="28">
        <v>-91149</v>
      </c>
      <c r="K135" s="29">
        <v>3.14</v>
      </c>
      <c r="L135" s="30">
        <f t="shared" si="11"/>
        <v>286207.86</v>
      </c>
      <c r="M135" s="30">
        <f>-SUM(42.55+572.42+5.96+1)</f>
        <v>-621.93</v>
      </c>
      <c r="N135" s="67">
        <f t="shared" si="10"/>
        <v>285585.93</v>
      </c>
      <c r="O135" s="72"/>
    </row>
    <row r="136" spans="2:15" ht="15">
      <c r="B136" s="54" t="s">
        <v>3355</v>
      </c>
      <c r="C136" s="22" t="s">
        <v>509</v>
      </c>
      <c r="D136" s="32" t="s">
        <v>3311</v>
      </c>
      <c r="E136" s="70">
        <v>43858</v>
      </c>
      <c r="F136" s="70">
        <v>43854</v>
      </c>
      <c r="G136" s="32" t="s">
        <v>3301</v>
      </c>
      <c r="H136" s="27" t="s">
        <v>3302</v>
      </c>
      <c r="I136" s="22" t="s">
        <v>3303</v>
      </c>
      <c r="J136" s="89">
        <v>-131243</v>
      </c>
      <c r="K136" s="22">
        <v>3.8370833</v>
      </c>
      <c r="L136" s="30">
        <f t="shared" si="11"/>
        <v>503590.3235419</v>
      </c>
      <c r="M136" s="30">
        <f>-SUM(42.13,1007.17,5.9,1)</f>
        <v>-1056.2</v>
      </c>
      <c r="N136" s="67">
        <f t="shared" si="10"/>
        <v>502534.1235419</v>
      </c>
      <c r="O136" s="72"/>
    </row>
    <row r="137" spans="2:15" ht="15">
      <c r="B137" s="54" t="s">
        <v>3355</v>
      </c>
      <c r="C137" s="22" t="s">
        <v>509</v>
      </c>
      <c r="D137" s="32" t="s">
        <v>3311</v>
      </c>
      <c r="E137" s="70">
        <v>43496</v>
      </c>
      <c r="F137" s="70">
        <v>43494</v>
      </c>
      <c r="G137" s="32" t="s">
        <v>3301</v>
      </c>
      <c r="H137" s="27" t="s">
        <v>3302</v>
      </c>
      <c r="I137" s="22" t="s">
        <v>3303</v>
      </c>
      <c r="J137" s="89">
        <v>-353972</v>
      </c>
      <c r="K137" s="22">
        <v>3.81</v>
      </c>
      <c r="L137" s="30">
        <f t="shared" si="11"/>
        <v>1348633.32</v>
      </c>
      <c r="M137" s="30">
        <f>-SUM(42.42,2697.27,5.94,1)</f>
        <v>-2746.63</v>
      </c>
      <c r="N137" s="67">
        <f t="shared" si="10"/>
        <v>1345886.6900000002</v>
      </c>
      <c r="O137" s="72"/>
    </row>
    <row r="138" spans="2:15" ht="15">
      <c r="B138" s="54" t="s">
        <v>3355</v>
      </c>
      <c r="C138" s="22" t="s">
        <v>509</v>
      </c>
      <c r="D138" s="32" t="s">
        <v>3311</v>
      </c>
      <c r="E138" s="70">
        <v>43496</v>
      </c>
      <c r="F138" s="70">
        <v>43494</v>
      </c>
      <c r="G138" s="32" t="s">
        <v>3301</v>
      </c>
      <c r="H138" s="27" t="s">
        <v>3302</v>
      </c>
      <c r="I138" s="22" t="s">
        <v>3303</v>
      </c>
      <c r="J138" s="89">
        <v>-200000</v>
      </c>
      <c r="K138" s="22">
        <v>3.81</v>
      </c>
      <c r="L138" s="30">
        <f t="shared" si="11"/>
        <v>762000</v>
      </c>
      <c r="M138" s="30">
        <f>-SUM(42.42,1524,5.94,1)</f>
        <v>-1573.3600000000001</v>
      </c>
      <c r="N138" s="67">
        <f t="shared" si="10"/>
        <v>760426.64</v>
      </c>
      <c r="O138" s="72"/>
    </row>
    <row r="139" spans="2:15" ht="15">
      <c r="B139" s="54" t="s">
        <v>3355</v>
      </c>
      <c r="C139" s="22" t="s">
        <v>509</v>
      </c>
      <c r="D139" s="32" t="s">
        <v>3311</v>
      </c>
      <c r="E139" s="70">
        <v>43864</v>
      </c>
      <c r="F139" s="70">
        <v>43860</v>
      </c>
      <c r="G139" s="32" t="s">
        <v>3301</v>
      </c>
      <c r="H139" s="27" t="s">
        <v>3302</v>
      </c>
      <c r="I139" s="22" t="s">
        <v>3303</v>
      </c>
      <c r="J139" s="89">
        <v>-128606</v>
      </c>
      <c r="K139" s="22">
        <v>3.81</v>
      </c>
      <c r="L139" s="30">
        <f t="shared" si="11"/>
        <v>489988.86</v>
      </c>
      <c r="M139" s="30">
        <f>-SUM(41.99,979.98,5.88,1)</f>
        <v>-1028.8500000000001</v>
      </c>
      <c r="N139" s="67">
        <f t="shared" si="10"/>
        <v>488960.01</v>
      </c>
      <c r="O139" s="72"/>
    </row>
    <row r="140" spans="2:15" ht="15">
      <c r="B140" s="54" t="s">
        <v>3355</v>
      </c>
      <c r="C140" s="22" t="s">
        <v>509</v>
      </c>
      <c r="D140" s="32" t="s">
        <v>3311</v>
      </c>
      <c r="E140" s="70">
        <v>43882</v>
      </c>
      <c r="F140" s="70">
        <v>43515</v>
      </c>
      <c r="G140" s="32" t="s">
        <v>3317</v>
      </c>
      <c r="H140" s="27" t="s">
        <v>3318</v>
      </c>
      <c r="I140" s="22" t="s">
        <v>3319</v>
      </c>
      <c r="J140" s="89">
        <v>-20000</v>
      </c>
      <c r="K140" s="22">
        <v>4.21</v>
      </c>
      <c r="L140" s="30">
        <f t="shared" si="11"/>
        <v>84200</v>
      </c>
      <c r="M140" s="30">
        <f>-SUM(41.88,168.4,5.86,1)</f>
        <v>-217.14000000000001</v>
      </c>
      <c r="N140" s="67">
        <f t="shared" si="10"/>
        <v>83982.86</v>
      </c>
      <c r="O140" s="72"/>
    </row>
    <row r="141" spans="2:15" s="47" customFormat="1" ht="15">
      <c r="B141" s="54"/>
      <c r="C141" s="77"/>
      <c r="D141" s="55"/>
      <c r="E141" s="56"/>
      <c r="F141" s="70"/>
      <c r="G141" s="32"/>
      <c r="H141" s="27"/>
      <c r="J141" s="49"/>
      <c r="K141" s="59"/>
      <c r="L141" s="51"/>
      <c r="M141" s="51"/>
      <c r="N141" s="51"/>
      <c r="O141" s="60"/>
    </row>
    <row r="142" spans="2:15" s="47" customFormat="1" ht="15" thickBot="1">
      <c r="B142" s="54"/>
      <c r="C142" s="77"/>
      <c r="D142" s="55"/>
      <c r="E142" s="56"/>
      <c r="F142" s="56"/>
      <c r="G142" s="32"/>
      <c r="H142" s="27"/>
      <c r="I142" s="47" t="s">
        <v>3314</v>
      </c>
      <c r="J142" s="73">
        <f>SUM(J121:J140)</f>
        <v>634255</v>
      </c>
      <c r="K142" s="59"/>
      <c r="L142" s="51"/>
      <c r="M142" s="51"/>
      <c r="N142" s="51"/>
      <c r="O142" s="60"/>
    </row>
    <row r="143" spans="2:15" s="47" customFormat="1" ht="15" thickTop="1">
      <c r="B143" s="54"/>
      <c r="C143" s="77"/>
      <c r="D143" s="55"/>
      <c r="E143" s="56"/>
      <c r="F143" s="56"/>
      <c r="G143" s="32"/>
      <c r="H143" s="27"/>
      <c r="J143" s="49"/>
      <c r="K143" s="59"/>
      <c r="L143" s="51"/>
      <c r="M143" s="51"/>
      <c r="N143" s="51"/>
      <c r="O143" s="60"/>
    </row>
    <row r="144" spans="2:15" s="47" customFormat="1" ht="15">
      <c r="B144" s="54"/>
      <c r="C144" s="77"/>
      <c r="D144" s="55"/>
      <c r="E144" s="56"/>
      <c r="F144" s="56"/>
      <c r="G144" s="32"/>
      <c r="H144" s="27"/>
      <c r="J144" s="49"/>
      <c r="K144" s="59"/>
      <c r="L144" s="51"/>
      <c r="M144" s="51"/>
      <c r="N144" s="51"/>
      <c r="O144" s="60"/>
    </row>
    <row r="145" spans="2:15" s="47" customFormat="1" ht="15">
      <c r="B145" s="54"/>
      <c r="C145" s="77"/>
      <c r="D145" s="55"/>
      <c r="E145" s="56"/>
      <c r="F145" s="56"/>
      <c r="G145" s="32"/>
      <c r="H145" s="27"/>
      <c r="J145" s="49"/>
      <c r="K145" s="59"/>
      <c r="L145" s="51"/>
      <c r="M145" s="51"/>
      <c r="N145" s="51"/>
      <c r="O145" s="60"/>
    </row>
    <row r="146" spans="2:15" s="47" customFormat="1" ht="15">
      <c r="B146" s="54" t="s">
        <v>3356</v>
      </c>
      <c r="C146" s="80" t="s">
        <v>3357</v>
      </c>
      <c r="D146" s="55" t="s">
        <v>3300</v>
      </c>
      <c r="E146" s="56">
        <v>43220</v>
      </c>
      <c r="F146" s="56">
        <v>43220</v>
      </c>
      <c r="G146" s="32" t="s">
        <v>3301</v>
      </c>
      <c r="H146" s="27" t="s">
        <v>3302</v>
      </c>
      <c r="I146" s="57" t="s">
        <v>3303</v>
      </c>
      <c r="J146" s="58">
        <v>85942000</v>
      </c>
      <c r="K146" s="59">
        <v>0.021</v>
      </c>
      <c r="L146" s="51">
        <v>0</v>
      </c>
      <c r="M146" s="51">
        <v>0</v>
      </c>
      <c r="N146" s="51">
        <v>0</v>
      </c>
      <c r="O146" s="60" t="s">
        <v>3304</v>
      </c>
    </row>
    <row r="147" spans="2:15" s="47" customFormat="1" ht="15">
      <c r="B147" s="54" t="s">
        <v>3356</v>
      </c>
      <c r="C147" s="80" t="s">
        <v>3357</v>
      </c>
      <c r="D147" s="55" t="s">
        <v>3300</v>
      </c>
      <c r="E147" s="56">
        <v>43220</v>
      </c>
      <c r="F147" s="56">
        <v>43220</v>
      </c>
      <c r="G147" s="32" t="s">
        <v>3301</v>
      </c>
      <c r="H147" s="27" t="s">
        <v>3302</v>
      </c>
      <c r="I147" s="57" t="s">
        <v>3303</v>
      </c>
      <c r="J147" s="58">
        <v>7609575</v>
      </c>
      <c r="K147" s="59">
        <v>0.021</v>
      </c>
      <c r="L147" s="51">
        <v>0</v>
      </c>
      <c r="M147" s="51">
        <v>0</v>
      </c>
      <c r="N147" s="51">
        <v>0</v>
      </c>
      <c r="O147" s="60" t="s">
        <v>3304</v>
      </c>
    </row>
    <row r="148" spans="2:15" ht="15">
      <c r="B148" s="54" t="s">
        <v>3356</v>
      </c>
      <c r="C148" s="78" t="s">
        <v>3357</v>
      </c>
      <c r="D148" s="32" t="s">
        <v>3305</v>
      </c>
      <c r="E148" s="70">
        <v>43511</v>
      </c>
      <c r="F148" s="70">
        <v>43150</v>
      </c>
      <c r="G148" s="32" t="s">
        <v>3323</v>
      </c>
      <c r="H148" s="27" t="s">
        <v>3326</v>
      </c>
      <c r="I148" s="22" t="s">
        <v>3327</v>
      </c>
      <c r="J148" s="82">
        <v>6689242</v>
      </c>
      <c r="K148" s="83">
        <v>0.01</v>
      </c>
      <c r="L148" s="30">
        <f aca="true" t="shared" si="12" ref="L148:L155">-J148*K148</f>
        <v>-66892.42</v>
      </c>
      <c r="M148" s="30">
        <f>-SUM(133.78+1)</f>
        <v>-134.78</v>
      </c>
      <c r="N148" s="30">
        <f aca="true" t="shared" si="13" ref="N148:N155">L148+M148</f>
        <v>-67027.2</v>
      </c>
      <c r="O148" s="68"/>
    </row>
    <row r="149" spans="2:15" ht="15">
      <c r="B149" s="54" t="s">
        <v>3356</v>
      </c>
      <c r="C149" s="78" t="s">
        <v>3357</v>
      </c>
      <c r="D149" s="32" t="s">
        <v>3305</v>
      </c>
      <c r="E149" s="70">
        <v>43525</v>
      </c>
      <c r="F149" s="70">
        <v>43529</v>
      </c>
      <c r="G149" s="32" t="s">
        <v>3317</v>
      </c>
      <c r="H149" s="27" t="s">
        <v>3318</v>
      </c>
      <c r="I149" s="22" t="s">
        <v>3327</v>
      </c>
      <c r="J149" s="82">
        <v>1286610</v>
      </c>
      <c r="K149" s="83">
        <v>0.01</v>
      </c>
      <c r="L149" s="30">
        <f t="shared" si="12"/>
        <v>-12866.1</v>
      </c>
      <c r="M149" s="30">
        <f>-SUM(25.74+1)</f>
        <v>-26.74</v>
      </c>
      <c r="N149" s="30">
        <f t="shared" si="13"/>
        <v>-12892.84</v>
      </c>
      <c r="O149" s="68"/>
    </row>
    <row r="150" spans="2:15" ht="15">
      <c r="B150" s="54" t="s">
        <v>3356</v>
      </c>
      <c r="C150" s="80" t="s">
        <v>3357</v>
      </c>
      <c r="D150" s="32" t="s">
        <v>3305</v>
      </c>
      <c r="E150" s="70">
        <v>43536</v>
      </c>
      <c r="F150" s="70">
        <v>43532</v>
      </c>
      <c r="G150" s="32" t="s">
        <v>3323</v>
      </c>
      <c r="H150" s="27" t="s">
        <v>3326</v>
      </c>
      <c r="I150" s="22" t="s">
        <v>3327</v>
      </c>
      <c r="J150" s="28">
        <v>18403912</v>
      </c>
      <c r="K150" s="29">
        <v>0.0105</v>
      </c>
      <c r="L150" s="30">
        <f t="shared" si="12"/>
        <v>-193241.076</v>
      </c>
      <c r="M150" s="30">
        <f>-SUM(386.48+1)</f>
        <v>-387.48</v>
      </c>
      <c r="N150" s="30">
        <f t="shared" si="13"/>
        <v>-193628.556</v>
      </c>
      <c r="O150" s="68"/>
    </row>
    <row r="151" spans="2:15" ht="15">
      <c r="B151" s="54" t="s">
        <v>3356</v>
      </c>
      <c r="C151" s="80" t="s">
        <v>3357</v>
      </c>
      <c r="D151" s="32" t="s">
        <v>3305</v>
      </c>
      <c r="E151" s="70">
        <v>43543</v>
      </c>
      <c r="F151" s="70">
        <v>43539</v>
      </c>
      <c r="G151" s="32" t="s">
        <v>3323</v>
      </c>
      <c r="H151" s="27" t="s">
        <v>3326</v>
      </c>
      <c r="I151" s="22" t="s">
        <v>3327</v>
      </c>
      <c r="J151" s="28">
        <v>1264860</v>
      </c>
      <c r="K151" s="29">
        <v>0.0105</v>
      </c>
      <c r="L151" s="30">
        <f t="shared" si="12"/>
        <v>-13281.03</v>
      </c>
      <c r="M151" s="30">
        <f>-SUM(26.57+1)</f>
        <v>-27.57</v>
      </c>
      <c r="N151" s="30">
        <f t="shared" si="13"/>
        <v>-13308.6</v>
      </c>
      <c r="O151" s="68"/>
    </row>
    <row r="152" spans="2:15" ht="15">
      <c r="B152" s="54" t="s">
        <v>3358</v>
      </c>
      <c r="C152" s="78" t="s">
        <v>3357</v>
      </c>
      <c r="D152" s="32" t="s">
        <v>3305</v>
      </c>
      <c r="E152" s="70">
        <v>43543</v>
      </c>
      <c r="F152" s="70">
        <v>43539</v>
      </c>
      <c r="G152" s="32" t="s">
        <v>3317</v>
      </c>
      <c r="H152" s="27" t="s">
        <v>3318</v>
      </c>
      <c r="I152" s="22" t="s">
        <v>3327</v>
      </c>
      <c r="J152" s="82">
        <v>1433507</v>
      </c>
      <c r="K152" s="83">
        <v>0.01028</v>
      </c>
      <c r="L152" s="30">
        <f t="shared" si="12"/>
        <v>-14736.451959999999</v>
      </c>
      <c r="M152" s="30">
        <f>-SUM(29.47+1)</f>
        <v>-30.47</v>
      </c>
      <c r="N152" s="30">
        <f t="shared" si="13"/>
        <v>-14766.921959999998</v>
      </c>
      <c r="O152" s="68"/>
    </row>
    <row r="153" spans="2:15" ht="15">
      <c r="B153" s="54" t="s">
        <v>3358</v>
      </c>
      <c r="C153" s="78" t="s">
        <v>3357</v>
      </c>
      <c r="D153" s="32" t="s">
        <v>3305</v>
      </c>
      <c r="E153" s="70">
        <v>43545</v>
      </c>
      <c r="F153" s="70">
        <v>43543</v>
      </c>
      <c r="G153" s="32" t="s">
        <v>3317</v>
      </c>
      <c r="H153" s="27" t="s">
        <v>3318</v>
      </c>
      <c r="I153" s="22" t="s">
        <v>3327</v>
      </c>
      <c r="J153" s="82">
        <v>499643</v>
      </c>
      <c r="K153" s="83">
        <v>0.011452</v>
      </c>
      <c r="L153" s="30">
        <f t="shared" si="12"/>
        <v>-5721.911636</v>
      </c>
      <c r="M153" s="30">
        <f>-SUM(11.44+0)</f>
        <v>-11.44</v>
      </c>
      <c r="N153" s="30">
        <f t="shared" si="13"/>
        <v>-5733.351635999999</v>
      </c>
      <c r="O153" s="68"/>
    </row>
    <row r="154" spans="2:15" ht="15">
      <c r="B154" s="54" t="s">
        <v>3356</v>
      </c>
      <c r="C154" s="90" t="s">
        <v>3357</v>
      </c>
      <c r="D154" s="32" t="s">
        <v>3305</v>
      </c>
      <c r="E154" s="70">
        <v>43557</v>
      </c>
      <c r="F154" s="70">
        <v>43553</v>
      </c>
      <c r="G154" s="32" t="s">
        <v>3323</v>
      </c>
      <c r="H154" s="27" t="s">
        <v>3326</v>
      </c>
      <c r="I154" s="22" t="s">
        <v>3327</v>
      </c>
      <c r="J154" s="28">
        <v>6169057</v>
      </c>
      <c r="K154" s="29">
        <v>0.0115</v>
      </c>
      <c r="L154" s="30">
        <f t="shared" si="12"/>
        <v>-70944.1555</v>
      </c>
      <c r="M154" s="30">
        <f>-SUM(141.89+1)</f>
        <v>-142.89</v>
      </c>
      <c r="N154" s="30">
        <f t="shared" si="13"/>
        <v>-71087.0455</v>
      </c>
      <c r="O154" s="68"/>
    </row>
    <row r="155" spans="2:15" ht="15">
      <c r="B155" s="54" t="s">
        <v>3356</v>
      </c>
      <c r="C155" s="90" t="s">
        <v>3357</v>
      </c>
      <c r="D155" s="32" t="s">
        <v>3305</v>
      </c>
      <c r="E155" s="70">
        <v>43559</v>
      </c>
      <c r="F155" s="70">
        <v>43557</v>
      </c>
      <c r="G155" s="32" t="s">
        <v>3323</v>
      </c>
      <c r="H155" s="27" t="s">
        <v>3326</v>
      </c>
      <c r="I155" s="22" t="s">
        <v>3327</v>
      </c>
      <c r="J155" s="28">
        <v>2653835</v>
      </c>
      <c r="K155" s="29">
        <v>0.0115</v>
      </c>
      <c r="L155" s="30">
        <f t="shared" si="12"/>
        <v>-30519.1025</v>
      </c>
      <c r="M155" s="30">
        <f>-SUM(61.04+1)</f>
        <v>-62.04</v>
      </c>
      <c r="N155" s="30">
        <f t="shared" si="13"/>
        <v>-30581.1425</v>
      </c>
      <c r="O155" s="68"/>
    </row>
    <row r="156" spans="2:15" s="47" customFormat="1" ht="15">
      <c r="B156" s="54"/>
      <c r="C156" s="77"/>
      <c r="D156" s="55"/>
      <c r="E156" s="56"/>
      <c r="F156" s="56"/>
      <c r="G156" s="32"/>
      <c r="H156" s="27"/>
      <c r="J156" s="49"/>
      <c r="K156" s="59"/>
      <c r="L156" s="51"/>
      <c r="M156" s="51"/>
      <c r="N156" s="51"/>
      <c r="O156" s="60"/>
    </row>
    <row r="157" spans="2:15" s="47" customFormat="1" ht="15" thickBot="1">
      <c r="B157" s="54"/>
      <c r="C157" s="77"/>
      <c r="D157" s="55"/>
      <c r="E157" s="56"/>
      <c r="F157" s="56"/>
      <c r="G157" s="32"/>
      <c r="H157" s="27"/>
      <c r="I157" s="47" t="s">
        <v>3314</v>
      </c>
      <c r="J157" s="73">
        <f>SUM(J146:J155)</f>
        <v>131952241</v>
      </c>
      <c r="K157" s="59"/>
      <c r="L157" s="51"/>
      <c r="M157" s="51"/>
      <c r="N157" s="51"/>
      <c r="O157" s="60"/>
    </row>
    <row r="158" spans="2:15" s="47" customFormat="1" ht="15" thickTop="1">
      <c r="B158" s="54"/>
      <c r="C158" s="77"/>
      <c r="D158" s="55"/>
      <c r="E158" s="56"/>
      <c r="F158" s="56"/>
      <c r="G158" s="32"/>
      <c r="H158" s="27"/>
      <c r="J158" s="49"/>
      <c r="K158" s="59"/>
      <c r="L158" s="51"/>
      <c r="M158" s="51"/>
      <c r="N158" s="51"/>
      <c r="O158" s="60"/>
    </row>
    <row r="159" spans="2:15" s="47" customFormat="1" ht="15">
      <c r="B159" s="54"/>
      <c r="C159" s="77"/>
      <c r="D159" s="55"/>
      <c r="E159" s="56"/>
      <c r="F159" s="56"/>
      <c r="G159" s="32"/>
      <c r="H159" s="27"/>
      <c r="J159" s="49"/>
      <c r="K159" s="59"/>
      <c r="L159" s="51"/>
      <c r="M159" s="51"/>
      <c r="N159" s="51"/>
      <c r="O159" s="60"/>
    </row>
    <row r="160" spans="2:15" s="47" customFormat="1" ht="15">
      <c r="B160" s="54"/>
      <c r="C160" s="77"/>
      <c r="D160" s="55"/>
      <c r="E160" s="56"/>
      <c r="F160" s="56"/>
      <c r="G160" s="32"/>
      <c r="H160" s="27"/>
      <c r="I160" s="57"/>
      <c r="J160" s="58"/>
      <c r="K160" s="59"/>
      <c r="L160" s="51"/>
      <c r="M160" s="51"/>
      <c r="N160" s="51"/>
      <c r="O160" s="60"/>
    </row>
    <row r="161" spans="2:15" ht="25.2">
      <c r="B161" s="54" t="s">
        <v>3359</v>
      </c>
      <c r="C161" s="74" t="s">
        <v>3360</v>
      </c>
      <c r="D161" s="32" t="s">
        <v>3305</v>
      </c>
      <c r="E161" s="70">
        <v>43550</v>
      </c>
      <c r="F161" s="70">
        <v>43546</v>
      </c>
      <c r="G161" s="32" t="s">
        <v>3323</v>
      </c>
      <c r="H161" s="27" t="s">
        <v>3318</v>
      </c>
      <c r="I161" s="22" t="s">
        <v>3319</v>
      </c>
      <c r="J161" s="79">
        <v>1025817</v>
      </c>
      <c r="K161" s="22">
        <v>0.8</v>
      </c>
      <c r="L161" s="30">
        <f>-J161*K161</f>
        <v>-820653.6000000001</v>
      </c>
      <c r="M161" s="30">
        <f>-SUM(1641.31+1)</f>
        <v>-1642.31</v>
      </c>
      <c r="N161" s="30">
        <f>L161+M161</f>
        <v>-822295.9100000001</v>
      </c>
      <c r="O161" s="68"/>
    </row>
    <row r="162" spans="2:15" ht="25.2">
      <c r="B162" s="54" t="s">
        <v>3359</v>
      </c>
      <c r="C162" s="74" t="s">
        <v>3360</v>
      </c>
      <c r="D162" s="32" t="s">
        <v>3305</v>
      </c>
      <c r="E162" s="70">
        <v>43586</v>
      </c>
      <c r="F162" s="70">
        <v>43584</v>
      </c>
      <c r="G162" s="32" t="s">
        <v>3323</v>
      </c>
      <c r="H162" s="27" t="s">
        <v>3318</v>
      </c>
      <c r="I162" s="22" t="s">
        <v>3319</v>
      </c>
      <c r="J162" s="79">
        <v>1780329</v>
      </c>
      <c r="K162" s="22">
        <v>0.84</v>
      </c>
      <c r="L162" s="30">
        <f>-J162*K162</f>
        <v>-1495476.3599999999</v>
      </c>
      <c r="M162" s="30">
        <f>-SUM(2990.95+1)</f>
        <v>-2991.95</v>
      </c>
      <c r="N162" s="30">
        <f>L162+M162</f>
        <v>-1498468.3099999998</v>
      </c>
      <c r="O162" s="68"/>
    </row>
    <row r="163" spans="2:15" ht="15">
      <c r="B163" s="54"/>
      <c r="C163" s="74"/>
      <c r="E163" s="70"/>
      <c r="F163" s="70"/>
      <c r="J163" s="79"/>
      <c r="K163" s="22"/>
      <c r="O163" s="68"/>
    </row>
    <row r="164" spans="2:15" ht="15" thickBot="1">
      <c r="B164" s="54"/>
      <c r="C164" s="74"/>
      <c r="E164" s="70"/>
      <c r="F164" s="70"/>
      <c r="I164" s="47" t="s">
        <v>3314</v>
      </c>
      <c r="J164" s="73">
        <f>SUM(J161:J162)</f>
        <v>2806146</v>
      </c>
      <c r="K164" s="22"/>
      <c r="O164" s="68"/>
    </row>
    <row r="165" spans="2:15" ht="15" thickTop="1">
      <c r="B165" s="54"/>
      <c r="C165" s="74"/>
      <c r="E165" s="70"/>
      <c r="F165" s="70"/>
      <c r="J165" s="79"/>
      <c r="K165" s="22"/>
      <c r="O165" s="68"/>
    </row>
    <row r="166" spans="2:15" ht="15">
      <c r="B166" s="54"/>
      <c r="C166" s="74"/>
      <c r="E166" s="70"/>
      <c r="F166" s="70"/>
      <c r="J166" s="79"/>
      <c r="K166" s="22"/>
      <c r="O166" s="68"/>
    </row>
    <row r="167" spans="2:15" ht="15">
      <c r="B167" s="54"/>
      <c r="C167" s="74"/>
      <c r="E167" s="70"/>
      <c r="F167" s="70"/>
      <c r="J167" s="79"/>
      <c r="K167" s="22"/>
      <c r="O167" s="68"/>
    </row>
    <row r="168" spans="2:15" ht="15">
      <c r="B168" s="54" t="s">
        <v>3361</v>
      </c>
      <c r="C168" s="91" t="s">
        <v>3362</v>
      </c>
      <c r="D168" s="32" t="s">
        <v>3305</v>
      </c>
      <c r="E168" s="70">
        <v>43796</v>
      </c>
      <c r="F168" s="70">
        <v>43794</v>
      </c>
      <c r="G168" s="32" t="s">
        <v>3317</v>
      </c>
      <c r="H168" s="27" t="s">
        <v>3318</v>
      </c>
      <c r="I168" s="22" t="s">
        <v>3319</v>
      </c>
      <c r="J168" s="28">
        <v>437000</v>
      </c>
      <c r="K168" s="29">
        <v>0.265</v>
      </c>
      <c r="L168" s="30">
        <f aca="true" t="shared" si="14" ref="L168:L176">-J168*K168</f>
        <v>-115805</v>
      </c>
      <c r="M168" s="30">
        <f>-SUM(42.78,231.61,5.99)</f>
        <v>-280.38</v>
      </c>
      <c r="N168" s="67">
        <f aca="true" t="shared" si="15" ref="N168:N176">L168+M168</f>
        <v>-116085.38</v>
      </c>
      <c r="O168" s="68"/>
    </row>
    <row r="169" spans="2:15" ht="15">
      <c r="B169" s="54" t="s">
        <v>3361</v>
      </c>
      <c r="C169" s="91" t="s">
        <v>3362</v>
      </c>
      <c r="D169" s="32" t="s">
        <v>3305</v>
      </c>
      <c r="E169" s="70">
        <v>43802</v>
      </c>
      <c r="F169" s="70">
        <v>43798</v>
      </c>
      <c r="G169" s="32" t="s">
        <v>3317</v>
      </c>
      <c r="H169" s="27" t="s">
        <v>3318</v>
      </c>
      <c r="I169" s="22" t="s">
        <v>3319</v>
      </c>
      <c r="J169" s="28">
        <v>463000</v>
      </c>
      <c r="K169" s="29">
        <v>0.264367</v>
      </c>
      <c r="L169" s="30">
        <f t="shared" si="14"/>
        <v>-122401.921</v>
      </c>
      <c r="M169" s="30">
        <f>-SUM(42.63,244.8,5.97)</f>
        <v>-293.40000000000003</v>
      </c>
      <c r="N169" s="67">
        <f t="shared" si="15"/>
        <v>-122695.321</v>
      </c>
      <c r="O169" s="72"/>
    </row>
    <row r="170" spans="2:15" ht="15">
      <c r="B170" s="54" t="s">
        <v>3361</v>
      </c>
      <c r="C170" s="91" t="s">
        <v>3362</v>
      </c>
      <c r="D170" s="32" t="s">
        <v>3305</v>
      </c>
      <c r="E170" s="70">
        <v>43804</v>
      </c>
      <c r="F170" s="70">
        <v>43802</v>
      </c>
      <c r="G170" s="32" t="s">
        <v>3317</v>
      </c>
      <c r="H170" s="27" t="s">
        <v>3318</v>
      </c>
      <c r="I170" s="22" t="s">
        <v>3319</v>
      </c>
      <c r="J170" s="28">
        <v>450000</v>
      </c>
      <c r="K170" s="29">
        <v>0.265</v>
      </c>
      <c r="L170" s="30">
        <f t="shared" si="14"/>
        <v>-119250</v>
      </c>
      <c r="M170" s="30">
        <f>-SUM(42.43,238.5,5.94)</f>
        <v>-286.87</v>
      </c>
      <c r="N170" s="67">
        <f t="shared" si="15"/>
        <v>-119536.87</v>
      </c>
      <c r="O170" s="68"/>
    </row>
    <row r="171" spans="2:15" ht="15">
      <c r="B171" s="54" t="s">
        <v>3361</v>
      </c>
      <c r="C171" s="91" t="s">
        <v>3362</v>
      </c>
      <c r="D171" s="32" t="s">
        <v>3305</v>
      </c>
      <c r="E171" s="70">
        <v>43809</v>
      </c>
      <c r="F171" s="70">
        <v>43805</v>
      </c>
      <c r="G171" s="32" t="s">
        <v>3317</v>
      </c>
      <c r="H171" s="27" t="s">
        <v>3318</v>
      </c>
      <c r="I171" s="22" t="s">
        <v>3319</v>
      </c>
      <c r="J171" s="28">
        <v>100000</v>
      </c>
      <c r="K171" s="29">
        <v>0.2575</v>
      </c>
      <c r="L171" s="30">
        <f t="shared" si="14"/>
        <v>-25750</v>
      </c>
      <c r="M171" s="30">
        <f>-SUM(42.06,51.5,5.89)</f>
        <v>-99.45</v>
      </c>
      <c r="N171" s="67">
        <f t="shared" si="15"/>
        <v>-25849.45</v>
      </c>
      <c r="O171" s="72"/>
    </row>
    <row r="172" spans="2:15" ht="15">
      <c r="B172" s="54" t="s">
        <v>3361</v>
      </c>
      <c r="C172" s="22" t="s">
        <v>3362</v>
      </c>
      <c r="D172" s="32" t="s">
        <v>3305</v>
      </c>
      <c r="E172" s="70">
        <v>43811</v>
      </c>
      <c r="F172" s="70">
        <v>43809</v>
      </c>
      <c r="G172" s="32" t="s">
        <v>3317</v>
      </c>
      <c r="H172" s="27" t="s">
        <v>3318</v>
      </c>
      <c r="I172" s="22" t="s">
        <v>3319</v>
      </c>
      <c r="J172" s="28">
        <v>400000</v>
      </c>
      <c r="K172" s="29">
        <v>0.254388</v>
      </c>
      <c r="L172" s="30">
        <f t="shared" si="14"/>
        <v>-101755.2</v>
      </c>
      <c r="M172" s="30">
        <f>-SUM(42.25+203.51+5.91)</f>
        <v>-251.67</v>
      </c>
      <c r="N172" s="67">
        <f t="shared" si="15"/>
        <v>-102006.87</v>
      </c>
      <c r="O172" s="72"/>
    </row>
    <row r="173" spans="2:15" ht="15">
      <c r="B173" s="54" t="s">
        <v>3361</v>
      </c>
      <c r="C173" s="22" t="s">
        <v>3362</v>
      </c>
      <c r="D173" s="32" t="s">
        <v>3305</v>
      </c>
      <c r="E173" s="70">
        <v>43843</v>
      </c>
      <c r="F173" s="70">
        <v>43839</v>
      </c>
      <c r="G173" s="32" t="s">
        <v>3317</v>
      </c>
      <c r="H173" s="27" t="s">
        <v>3318</v>
      </c>
      <c r="I173" s="22" t="s">
        <v>3319</v>
      </c>
      <c r="J173" s="28">
        <v>250000</v>
      </c>
      <c r="K173" s="29">
        <v>0.2425</v>
      </c>
      <c r="L173" s="30">
        <f t="shared" si="14"/>
        <v>-60625</v>
      </c>
      <c r="M173" s="30">
        <f>-SUM(42.5+121.25+5.95)</f>
        <v>-169.7</v>
      </c>
      <c r="N173" s="67">
        <f t="shared" si="15"/>
        <v>-60794.7</v>
      </c>
      <c r="O173" s="72"/>
    </row>
    <row r="174" spans="2:15" ht="15">
      <c r="B174" s="54" t="s">
        <v>3361</v>
      </c>
      <c r="C174" s="22" t="s">
        <v>3362</v>
      </c>
      <c r="D174" s="32" t="s">
        <v>3305</v>
      </c>
      <c r="E174" s="70">
        <v>43906</v>
      </c>
      <c r="F174" s="70">
        <v>43902</v>
      </c>
      <c r="G174" s="32" t="s">
        <v>3317</v>
      </c>
      <c r="H174" s="27" t="s">
        <v>3318</v>
      </c>
      <c r="I174" s="22" t="s">
        <v>3319</v>
      </c>
      <c r="J174" s="28">
        <v>150000</v>
      </c>
      <c r="K174" s="29">
        <v>0.2025</v>
      </c>
      <c r="L174" s="30">
        <f t="shared" si="14"/>
        <v>-30375.000000000004</v>
      </c>
      <c r="M174" s="30">
        <f>-44.54-60.75-6.24</f>
        <v>-111.52999999999999</v>
      </c>
      <c r="N174" s="67">
        <f t="shared" si="15"/>
        <v>-30486.530000000002</v>
      </c>
      <c r="O174" s="72"/>
    </row>
    <row r="175" spans="2:15" ht="15">
      <c r="B175" s="54" t="s">
        <v>3361</v>
      </c>
      <c r="C175" s="22" t="s">
        <v>3362</v>
      </c>
      <c r="D175" s="32" t="s">
        <v>3305</v>
      </c>
      <c r="E175" s="70">
        <v>43908</v>
      </c>
      <c r="F175" s="70">
        <v>43906</v>
      </c>
      <c r="G175" s="32" t="s">
        <v>3301</v>
      </c>
      <c r="H175" s="27" t="s">
        <v>3302</v>
      </c>
      <c r="I175" s="22" t="s">
        <v>3303</v>
      </c>
      <c r="J175" s="28">
        <v>150000</v>
      </c>
      <c r="K175" s="29">
        <v>0.18875</v>
      </c>
      <c r="L175" s="30">
        <f t="shared" si="14"/>
        <v>-28312.5</v>
      </c>
      <c r="M175" s="30">
        <f>-45.55-56.63-6.38</f>
        <v>-108.56</v>
      </c>
      <c r="N175" s="67">
        <f t="shared" si="15"/>
        <v>-28421.06</v>
      </c>
      <c r="O175" s="72"/>
    </row>
    <row r="176" spans="2:15" ht="15">
      <c r="B176" s="54" t="s">
        <v>3361</v>
      </c>
      <c r="C176" s="22" t="s">
        <v>3362</v>
      </c>
      <c r="D176" s="32" t="s">
        <v>3305</v>
      </c>
      <c r="E176" s="70">
        <v>43908</v>
      </c>
      <c r="F176" s="70">
        <v>43906</v>
      </c>
      <c r="G176" s="32" t="s">
        <v>3301</v>
      </c>
      <c r="H176" s="27" t="s">
        <v>3302</v>
      </c>
      <c r="I176" s="22" t="s">
        <v>3303</v>
      </c>
      <c r="J176" s="28">
        <v>150000</v>
      </c>
      <c r="K176" s="29">
        <v>0.19625</v>
      </c>
      <c r="L176" s="30">
        <f t="shared" si="14"/>
        <v>-29437.5</v>
      </c>
      <c r="M176" s="30">
        <f>-45.55-58.88-6.38</f>
        <v>-110.81</v>
      </c>
      <c r="N176" s="67">
        <f t="shared" si="15"/>
        <v>-29548.31</v>
      </c>
      <c r="O176" s="72"/>
    </row>
    <row r="177" spans="2:15" ht="15">
      <c r="B177" s="54"/>
      <c r="E177" s="70"/>
      <c r="F177" s="70"/>
      <c r="N177" s="67"/>
      <c r="O177" s="72"/>
    </row>
    <row r="178" spans="2:15" ht="15" thickBot="1">
      <c r="B178" s="54"/>
      <c r="E178" s="70"/>
      <c r="F178" s="70"/>
      <c r="I178" s="47" t="s">
        <v>3314</v>
      </c>
      <c r="J178" s="73">
        <f>SUM(J168:J176)</f>
        <v>2550000</v>
      </c>
      <c r="N178" s="67"/>
      <c r="O178" s="72"/>
    </row>
    <row r="179" spans="2:15" ht="15" thickTop="1">
      <c r="B179" s="54"/>
      <c r="E179" s="70"/>
      <c r="F179" s="70"/>
      <c r="N179" s="67"/>
      <c r="O179" s="72"/>
    </row>
    <row r="180" spans="2:15" ht="15">
      <c r="B180" s="54"/>
      <c r="E180" s="70"/>
      <c r="F180" s="70"/>
      <c r="N180" s="67"/>
      <c r="O180" s="72"/>
    </row>
    <row r="181" spans="2:15" ht="15">
      <c r="B181" s="54"/>
      <c r="E181" s="70"/>
      <c r="F181" s="70"/>
      <c r="N181" s="67"/>
      <c r="O181" s="72"/>
    </row>
    <row r="182" spans="2:15" ht="15">
      <c r="B182" s="54" t="s">
        <v>3363</v>
      </c>
      <c r="C182" s="22" t="s">
        <v>3364</v>
      </c>
      <c r="D182" s="32" t="s">
        <v>3305</v>
      </c>
      <c r="E182" s="70">
        <v>43809</v>
      </c>
      <c r="F182" s="70">
        <v>43805</v>
      </c>
      <c r="G182" s="32" t="s">
        <v>3332</v>
      </c>
      <c r="H182" s="27" t="s">
        <v>3333</v>
      </c>
      <c r="I182" s="22" t="s">
        <v>3334</v>
      </c>
      <c r="J182" s="28">
        <v>1100000</v>
      </c>
      <c r="K182" s="29">
        <v>0.45</v>
      </c>
      <c r="L182" s="30">
        <f>-J182*K182</f>
        <v>-495000</v>
      </c>
      <c r="M182" s="30">
        <f>-SUM(42.06,990,5.89,1)</f>
        <v>-1038.95</v>
      </c>
      <c r="N182" s="67">
        <f>L182+M182</f>
        <v>-496038.95</v>
      </c>
      <c r="O182" s="72"/>
    </row>
    <row r="183" spans="2:15" ht="15">
      <c r="B183" s="54" t="s">
        <v>3363</v>
      </c>
      <c r="C183" s="22" t="s">
        <v>3364</v>
      </c>
      <c r="D183" s="32" t="s">
        <v>3305</v>
      </c>
      <c r="E183" s="70">
        <v>43816</v>
      </c>
      <c r="F183" s="70">
        <v>43812</v>
      </c>
      <c r="G183" s="32" t="s">
        <v>3301</v>
      </c>
      <c r="H183" s="27" t="s">
        <v>3302</v>
      </c>
      <c r="I183" s="22" t="s">
        <v>3303</v>
      </c>
      <c r="J183" s="28">
        <v>580000</v>
      </c>
      <c r="K183" s="29">
        <v>0.515</v>
      </c>
      <c r="L183" s="30">
        <f>-J183*K183</f>
        <v>-298700</v>
      </c>
      <c r="M183" s="30">
        <f>-SUM(41.65,597.4,5.83,1)</f>
        <v>-645.88</v>
      </c>
      <c r="N183" s="67">
        <f>L183+M183</f>
        <v>-299345.88</v>
      </c>
      <c r="O183" s="72"/>
    </row>
    <row r="184" spans="2:15" ht="15">
      <c r="B184" s="54" t="s">
        <v>3363</v>
      </c>
      <c r="C184" s="22" t="s">
        <v>3364</v>
      </c>
      <c r="D184" s="32" t="s">
        <v>3305</v>
      </c>
      <c r="E184" s="70">
        <v>43878</v>
      </c>
      <c r="F184" s="70">
        <v>43874</v>
      </c>
      <c r="G184" s="32" t="s">
        <v>3301</v>
      </c>
      <c r="H184" s="27" t="s">
        <v>3302</v>
      </c>
      <c r="I184" s="22" t="s">
        <v>3303</v>
      </c>
      <c r="J184" s="28">
        <v>2572438</v>
      </c>
      <c r="K184" s="29">
        <v>0.520832</v>
      </c>
      <c r="L184" s="30">
        <f>-J184*K184</f>
        <v>-1339808.0284159998</v>
      </c>
      <c r="M184" s="30">
        <f>-SUM(41.51,535.92,5.81,1)</f>
        <v>-584.2399999999999</v>
      </c>
      <c r="N184" s="67">
        <f>L184+M184</f>
        <v>-1340392.2684159998</v>
      </c>
      <c r="O184" s="72"/>
    </row>
    <row r="185" spans="2:15" ht="15">
      <c r="B185" s="54"/>
      <c r="E185" s="70"/>
      <c r="F185" s="70"/>
      <c r="N185" s="67"/>
      <c r="O185" s="72"/>
    </row>
    <row r="186" spans="2:15" ht="15" thickBot="1">
      <c r="B186" s="54"/>
      <c r="E186" s="70"/>
      <c r="F186" s="70"/>
      <c r="I186" s="47" t="s">
        <v>3314</v>
      </c>
      <c r="J186" s="73">
        <f>SUM(J182:J184)</f>
        <v>4252438</v>
      </c>
      <c r="N186" s="67"/>
      <c r="O186" s="72"/>
    </row>
    <row r="187" spans="2:15" ht="15" thickTop="1">
      <c r="B187" s="54"/>
      <c r="E187" s="70"/>
      <c r="F187" s="70"/>
      <c r="N187" s="67"/>
      <c r="O187" s="72"/>
    </row>
    <row r="188" spans="2:15" ht="15">
      <c r="B188" s="54"/>
      <c r="E188" s="70"/>
      <c r="F188" s="70"/>
      <c r="N188" s="67"/>
      <c r="O188" s="72"/>
    </row>
    <row r="189" spans="2:15" ht="15">
      <c r="B189" s="54"/>
      <c r="E189" s="70"/>
      <c r="F189" s="70"/>
      <c r="N189" s="67"/>
      <c r="O189" s="72"/>
    </row>
    <row r="190" spans="2:15" ht="15">
      <c r="B190" s="54" t="s">
        <v>3365</v>
      </c>
      <c r="C190" s="77" t="s">
        <v>3366</v>
      </c>
      <c r="D190" s="32" t="s">
        <v>3367</v>
      </c>
      <c r="E190" s="70">
        <v>43811</v>
      </c>
      <c r="F190" s="70">
        <v>43811</v>
      </c>
      <c r="J190" s="28">
        <v>4036095</v>
      </c>
      <c r="K190" s="29">
        <v>0.58</v>
      </c>
      <c r="O190" s="68" t="s">
        <v>3368</v>
      </c>
    </row>
    <row r="192" spans="9:10" ht="15" thickBot="1">
      <c r="I192" s="47" t="s">
        <v>3314</v>
      </c>
      <c r="J192" s="73">
        <f>SUM(J190)</f>
        <v>4036095</v>
      </c>
    </row>
    <row r="193" spans="9:10" ht="15" thickTop="1">
      <c r="I193" s="47"/>
      <c r="J193" s="49"/>
    </row>
    <row r="194" spans="9:10" ht="15">
      <c r="I194" s="47"/>
      <c r="J194" s="49"/>
    </row>
    <row r="195" spans="2:15" ht="15">
      <c r="B195" s="54" t="s">
        <v>3369</v>
      </c>
      <c r="C195" s="77" t="s">
        <v>3370</v>
      </c>
      <c r="D195" s="55" t="s">
        <v>3300</v>
      </c>
      <c r="E195" s="70">
        <v>43228</v>
      </c>
      <c r="F195" s="70">
        <v>43228</v>
      </c>
      <c r="G195" s="32" t="s">
        <v>3301</v>
      </c>
      <c r="H195" s="27" t="s">
        <v>3302</v>
      </c>
      <c r="I195" s="57" t="s">
        <v>3303</v>
      </c>
      <c r="J195" s="28">
        <v>898837</v>
      </c>
      <c r="K195" s="29">
        <v>1.175</v>
      </c>
      <c r="O195" s="68" t="s">
        <v>3371</v>
      </c>
    </row>
    <row r="196" spans="2:15" ht="15">
      <c r="B196" s="54" t="s">
        <v>3369</v>
      </c>
      <c r="C196" s="77" t="s">
        <v>3370</v>
      </c>
      <c r="D196" s="32" t="s">
        <v>3311</v>
      </c>
      <c r="E196" s="70">
        <v>43626</v>
      </c>
      <c r="F196" s="70">
        <v>43622</v>
      </c>
      <c r="G196" s="32" t="s">
        <v>3344</v>
      </c>
      <c r="H196" s="27" t="s">
        <v>3350</v>
      </c>
      <c r="I196" s="22" t="s">
        <v>3306</v>
      </c>
      <c r="J196" s="28">
        <v>-483967</v>
      </c>
      <c r="K196" s="29">
        <v>0.63</v>
      </c>
      <c r="L196" s="30">
        <f>-J196*K196</f>
        <v>304899.21</v>
      </c>
      <c r="M196" s="30">
        <v>-609.8</v>
      </c>
      <c r="N196" s="30">
        <f>L196+M196</f>
        <v>304289.41000000003</v>
      </c>
      <c r="O196" s="68"/>
    </row>
    <row r="197" spans="2:15" ht="15">
      <c r="B197" s="54" t="s">
        <v>3369</v>
      </c>
      <c r="C197" s="77" t="s">
        <v>3370</v>
      </c>
      <c r="D197" s="32" t="s">
        <v>3311</v>
      </c>
      <c r="E197" s="70">
        <v>43648</v>
      </c>
      <c r="F197" s="70">
        <v>43644</v>
      </c>
      <c r="G197" s="32" t="s">
        <v>3344</v>
      </c>
      <c r="H197" s="27" t="s">
        <v>3312</v>
      </c>
      <c r="I197" s="22" t="s">
        <v>3313</v>
      </c>
      <c r="J197" s="28">
        <v>-414870</v>
      </c>
      <c r="K197" s="29">
        <v>0.63</v>
      </c>
      <c r="L197" s="30">
        <f>-J197*K197</f>
        <v>261368.1</v>
      </c>
      <c r="M197" s="30">
        <v>-522.74</v>
      </c>
      <c r="N197" s="30">
        <f>L197+M197</f>
        <v>260845.36000000002</v>
      </c>
      <c r="O197" s="68"/>
    </row>
    <row r="198" spans="2:15" ht="15">
      <c r="B198" s="54"/>
      <c r="C198" s="77"/>
      <c r="E198" s="70"/>
      <c r="F198" s="70"/>
      <c r="O198" s="68"/>
    </row>
    <row r="199" spans="9:10" ht="15">
      <c r="I199" s="47" t="s">
        <v>3314</v>
      </c>
      <c r="J199" s="30">
        <f>SUM(J195:J198)</f>
        <v>0</v>
      </c>
    </row>
    <row r="200" spans="9:10" ht="15">
      <c r="I200" s="47"/>
      <c r="J200" s="49"/>
    </row>
    <row r="201" spans="9:10" ht="15">
      <c r="I201" s="47"/>
      <c r="J201" s="49"/>
    </row>
    <row r="202" spans="9:10" ht="15">
      <c r="I202" s="47"/>
      <c r="J202" s="49"/>
    </row>
    <row r="203" spans="2:15" ht="25.2">
      <c r="B203" s="54" t="s">
        <v>3372</v>
      </c>
      <c r="C203" s="74" t="s">
        <v>3373</v>
      </c>
      <c r="D203" s="32" t="s">
        <v>3348</v>
      </c>
      <c r="E203" s="70">
        <v>43329</v>
      </c>
      <c r="F203" s="70">
        <v>43369</v>
      </c>
      <c r="G203" s="32" t="s">
        <v>3301</v>
      </c>
      <c r="H203" s="27" t="s">
        <v>3302</v>
      </c>
      <c r="I203" s="22" t="s">
        <v>3303</v>
      </c>
      <c r="J203" s="28">
        <v>4993492</v>
      </c>
      <c r="K203" s="29">
        <v>0.0865</v>
      </c>
      <c r="L203" s="30">
        <v>0</v>
      </c>
      <c r="M203" s="30">
        <v>0</v>
      </c>
      <c r="N203" s="30">
        <f>L203+M203</f>
        <v>0</v>
      </c>
      <c r="O203" s="68" t="s">
        <v>3371</v>
      </c>
    </row>
    <row r="204" spans="2:15" ht="25.2">
      <c r="B204" s="54" t="s">
        <v>3372</v>
      </c>
      <c r="C204" s="74" t="s">
        <v>3373</v>
      </c>
      <c r="D204" s="32" t="s">
        <v>3311</v>
      </c>
      <c r="E204" s="70">
        <v>43614</v>
      </c>
      <c r="F204" s="70">
        <v>43609</v>
      </c>
      <c r="G204" s="32" t="s">
        <v>3323</v>
      </c>
      <c r="H204" s="27" t="s">
        <v>3326</v>
      </c>
      <c r="I204" s="22" t="s">
        <v>3327</v>
      </c>
      <c r="J204" s="28">
        <v>-4993492</v>
      </c>
      <c r="K204" s="29">
        <v>0.0272</v>
      </c>
      <c r="L204" s="30">
        <f>-J204*K204</f>
        <v>135822.98239999998</v>
      </c>
      <c r="M204" s="30">
        <v>-271.65</v>
      </c>
      <c r="N204" s="30">
        <f>L204+M204</f>
        <v>135551.33239999998</v>
      </c>
      <c r="O204" s="68"/>
    </row>
    <row r="205" spans="2:15" ht="15">
      <c r="B205" s="54"/>
      <c r="C205" s="74"/>
      <c r="E205" s="70"/>
      <c r="F205" s="70"/>
      <c r="O205" s="68"/>
    </row>
    <row r="206" spans="2:15" ht="15" thickBot="1">
      <c r="B206" s="54"/>
      <c r="C206" s="74"/>
      <c r="E206" s="70"/>
      <c r="F206" s="70"/>
      <c r="I206" s="47" t="s">
        <v>3314</v>
      </c>
      <c r="J206" s="73">
        <f>SUM(J203:J204)</f>
        <v>0</v>
      </c>
      <c r="O206" s="68"/>
    </row>
    <row r="207" spans="2:15" ht="15" thickTop="1">
      <c r="B207" s="54"/>
      <c r="C207" s="74"/>
      <c r="E207" s="70"/>
      <c r="F207" s="70"/>
      <c r="O207" s="68"/>
    </row>
    <row r="208" spans="2:15" ht="15">
      <c r="B208" s="54"/>
      <c r="C208" s="74"/>
      <c r="E208" s="70"/>
      <c r="F208" s="70"/>
      <c r="O208" s="68"/>
    </row>
    <row r="210" spans="2:15" ht="15">
      <c r="B210" s="54" t="s">
        <v>3374</v>
      </c>
      <c r="C210" s="77" t="s">
        <v>3375</v>
      </c>
      <c r="D210" s="32" t="s">
        <v>3305</v>
      </c>
      <c r="E210" s="70">
        <v>43397</v>
      </c>
      <c r="F210" s="70">
        <v>43399</v>
      </c>
      <c r="G210" s="32" t="s">
        <v>3376</v>
      </c>
      <c r="H210" s="27" t="s">
        <v>3377</v>
      </c>
      <c r="I210" s="22" t="s">
        <v>3378</v>
      </c>
      <c r="J210" s="28">
        <v>1200000</v>
      </c>
      <c r="K210" s="29">
        <v>0.75</v>
      </c>
      <c r="L210" s="30">
        <f>-(J210*K210)</f>
        <v>-900000</v>
      </c>
      <c r="N210" s="30">
        <f>L210+M210</f>
        <v>-900000</v>
      </c>
      <c r="O210" s="68"/>
    </row>
    <row r="211" spans="2:15" ht="15">
      <c r="B211" s="54" t="s">
        <v>3374</v>
      </c>
      <c r="C211" s="77" t="s">
        <v>3375</v>
      </c>
      <c r="D211" s="32" t="s">
        <v>3311</v>
      </c>
      <c r="E211" s="70">
        <v>43740</v>
      </c>
      <c r="F211" s="70">
        <v>43738</v>
      </c>
      <c r="G211" s="32" t="s">
        <v>3301</v>
      </c>
      <c r="H211" s="27" t="s">
        <v>3302</v>
      </c>
      <c r="I211" s="22" t="s">
        <v>3303</v>
      </c>
      <c r="J211" s="28">
        <v>-1200000</v>
      </c>
      <c r="K211" s="29">
        <v>0.09</v>
      </c>
      <c r="L211" s="30">
        <f>-(J211*K211)</f>
        <v>108000</v>
      </c>
      <c r="M211" s="30">
        <f>-SUM(44.32,216,6.21,1)</f>
        <v>-267.53</v>
      </c>
      <c r="N211" s="30">
        <f>L211+M211</f>
        <v>107732.47</v>
      </c>
      <c r="O211" s="68"/>
    </row>
    <row r="212" spans="2:15" ht="15">
      <c r="B212" s="54"/>
      <c r="C212" s="77"/>
      <c r="E212" s="70"/>
      <c r="F212" s="70"/>
      <c r="O212" s="68"/>
    </row>
    <row r="213" spans="2:15" ht="15" thickBot="1">
      <c r="B213" s="54"/>
      <c r="C213" s="77"/>
      <c r="E213" s="70"/>
      <c r="F213" s="70"/>
      <c r="I213" s="47" t="s">
        <v>3314</v>
      </c>
      <c r="J213" s="73">
        <f>SUM(J210:J211)</f>
        <v>0</v>
      </c>
      <c r="O213" s="68"/>
    </row>
    <row r="214" spans="2:15" ht="15" thickTop="1">
      <c r="B214" s="54"/>
      <c r="C214" s="77"/>
      <c r="E214" s="70"/>
      <c r="F214" s="70"/>
      <c r="O214" s="68"/>
    </row>
    <row r="217" spans="2:15" s="47" customFormat="1" ht="15">
      <c r="B217" s="54" t="s">
        <v>589</v>
      </c>
      <c r="C217" s="47" t="s">
        <v>588</v>
      </c>
      <c r="D217" s="55" t="s">
        <v>3300</v>
      </c>
      <c r="E217" s="56">
        <v>43220</v>
      </c>
      <c r="F217" s="56">
        <v>43220</v>
      </c>
      <c r="G217" s="32" t="s">
        <v>3301</v>
      </c>
      <c r="H217" s="27" t="s">
        <v>3302</v>
      </c>
      <c r="I217" s="57" t="s">
        <v>3303</v>
      </c>
      <c r="J217" s="58">
        <v>1734059</v>
      </c>
      <c r="K217" s="59">
        <v>0.825</v>
      </c>
      <c r="L217" s="51">
        <v>0</v>
      </c>
      <c r="M217" s="51">
        <v>0</v>
      </c>
      <c r="N217" s="51">
        <v>0</v>
      </c>
      <c r="O217" s="60" t="s">
        <v>3304</v>
      </c>
    </row>
    <row r="218" spans="2:15" ht="15">
      <c r="B218" s="54" t="s">
        <v>589</v>
      </c>
      <c r="C218" s="78"/>
      <c r="D218" s="32" t="s">
        <v>3379</v>
      </c>
      <c r="E218" s="70"/>
      <c r="F218" s="70">
        <v>43560</v>
      </c>
      <c r="J218" s="79">
        <v>-1734059</v>
      </c>
      <c r="K218" s="22"/>
      <c r="N218" s="92">
        <v>1989158.43</v>
      </c>
      <c r="O218" s="93" t="s">
        <v>3380</v>
      </c>
    </row>
    <row r="219" spans="2:15" ht="15">
      <c r="B219" s="54"/>
      <c r="C219" s="78"/>
      <c r="E219" s="70"/>
      <c r="F219" s="70"/>
      <c r="J219" s="79"/>
      <c r="K219" s="22"/>
      <c r="N219" s="92"/>
      <c r="O219" s="93"/>
    </row>
    <row r="220" spans="2:15" ht="15" thickBot="1">
      <c r="B220" s="54"/>
      <c r="C220" s="78"/>
      <c r="E220" s="70"/>
      <c r="F220" s="70"/>
      <c r="I220" s="47" t="s">
        <v>3314</v>
      </c>
      <c r="J220" s="73">
        <f>SUM(J217:J218)</f>
        <v>0</v>
      </c>
      <c r="K220" s="22"/>
      <c r="N220" s="92"/>
      <c r="O220" s="93"/>
    </row>
    <row r="221" ht="15" thickTop="1"/>
    <row r="224" spans="2:15" s="47" customFormat="1" ht="15">
      <c r="B224" s="54" t="s">
        <v>3381</v>
      </c>
      <c r="C224" s="77" t="s">
        <v>3382</v>
      </c>
      <c r="D224" s="55" t="s">
        <v>3300</v>
      </c>
      <c r="E224" s="56">
        <v>43220</v>
      </c>
      <c r="F224" s="56">
        <v>43220</v>
      </c>
      <c r="G224" s="32" t="s">
        <v>3301</v>
      </c>
      <c r="H224" s="27" t="s">
        <v>3302</v>
      </c>
      <c r="I224" s="57" t="s">
        <v>3303</v>
      </c>
      <c r="J224" s="58">
        <v>285915</v>
      </c>
      <c r="K224" s="59">
        <v>0.96</v>
      </c>
      <c r="L224" s="51">
        <v>0</v>
      </c>
      <c r="M224" s="51">
        <v>0</v>
      </c>
      <c r="N224" s="51">
        <v>0</v>
      </c>
      <c r="O224" s="60" t="s">
        <v>3304</v>
      </c>
    </row>
    <row r="225" spans="2:15" ht="15">
      <c r="B225" s="54" t="s">
        <v>3381</v>
      </c>
      <c r="C225" s="77" t="s">
        <v>3382</v>
      </c>
      <c r="D225" s="32" t="s">
        <v>3311</v>
      </c>
      <c r="E225" s="70">
        <v>43395</v>
      </c>
      <c r="F225" s="70">
        <v>43392</v>
      </c>
      <c r="G225" s="32" t="s">
        <v>3317</v>
      </c>
      <c r="H225" s="27" t="s">
        <v>3318</v>
      </c>
      <c r="I225" s="22" t="s">
        <v>3319</v>
      </c>
      <c r="J225" s="28">
        <v>-180000</v>
      </c>
      <c r="K225" s="29">
        <v>0.93</v>
      </c>
      <c r="L225" s="30">
        <f>-J225*K225</f>
        <v>167400</v>
      </c>
      <c r="M225" s="30">
        <f>-43.97-334.8-6.16-1</f>
        <v>-385.93</v>
      </c>
      <c r="N225" s="30">
        <f>L225+M225</f>
        <v>167014.07</v>
      </c>
      <c r="O225" s="68"/>
    </row>
    <row r="226" spans="2:15" ht="15">
      <c r="B226" s="54" t="s">
        <v>3381</v>
      </c>
      <c r="C226" s="77" t="s">
        <v>3382</v>
      </c>
      <c r="D226" s="32" t="s">
        <v>3311</v>
      </c>
      <c r="E226" s="70">
        <v>43403</v>
      </c>
      <c r="F226" s="70">
        <v>43399</v>
      </c>
      <c r="G226" s="32" t="s">
        <v>3317</v>
      </c>
      <c r="H226" s="27" t="s">
        <v>3318</v>
      </c>
      <c r="I226" s="22" t="s">
        <v>3319</v>
      </c>
      <c r="J226" s="28">
        <v>-105915</v>
      </c>
      <c r="K226" s="29">
        <v>0.89</v>
      </c>
      <c r="L226" s="30">
        <f>-J226*K226</f>
        <v>94264.35</v>
      </c>
      <c r="M226" s="30">
        <v>-189.53</v>
      </c>
      <c r="N226" s="30">
        <f>L226+M226</f>
        <v>94074.82</v>
      </c>
      <c r="O226" s="68"/>
    </row>
    <row r="227" spans="2:15" ht="15">
      <c r="B227" s="54"/>
      <c r="C227" s="77"/>
      <c r="E227" s="70"/>
      <c r="F227" s="70"/>
      <c r="O227" s="68"/>
    </row>
    <row r="228" spans="2:15" ht="15" thickBot="1">
      <c r="B228" s="54"/>
      <c r="C228" s="77"/>
      <c r="E228" s="70"/>
      <c r="F228" s="70"/>
      <c r="I228" s="47" t="s">
        <v>3314</v>
      </c>
      <c r="J228" s="73">
        <f>SUM(J224:J226)</f>
        <v>0</v>
      </c>
      <c r="O228" s="68"/>
    </row>
    <row r="229" ht="15" thickTop="1"/>
    <row r="231" spans="2:15" ht="15">
      <c r="B231" s="54" t="s">
        <v>3383</v>
      </c>
      <c r="C231" s="77" t="s">
        <v>3384</v>
      </c>
      <c r="D231" s="32" t="s">
        <v>3305</v>
      </c>
      <c r="E231" s="70">
        <v>43871</v>
      </c>
      <c r="F231" s="70">
        <v>43867</v>
      </c>
      <c r="G231" s="32" t="s">
        <v>3385</v>
      </c>
      <c r="H231" s="27" t="s">
        <v>3386</v>
      </c>
      <c r="I231" s="22" t="s">
        <v>3387</v>
      </c>
      <c r="J231" s="28">
        <v>2000000</v>
      </c>
      <c r="K231" s="29">
        <v>0.5</v>
      </c>
      <c r="L231" s="30">
        <f>-J231*K231</f>
        <v>-1000000</v>
      </c>
      <c r="M231" s="30">
        <f>-SUM(42.35,2000,5.93,1)</f>
        <v>-2049.2799999999997</v>
      </c>
      <c r="N231" s="30">
        <f>L231+M231</f>
        <v>-1002049.28</v>
      </c>
      <c r="O231" s="68"/>
    </row>
    <row r="232" spans="2:15" ht="15">
      <c r="B232" s="54" t="s">
        <v>3383</v>
      </c>
      <c r="C232" s="77" t="s">
        <v>3384</v>
      </c>
      <c r="D232" s="32" t="s">
        <v>3305</v>
      </c>
      <c r="E232" s="70">
        <v>43899</v>
      </c>
      <c r="F232" s="70">
        <v>43895</v>
      </c>
      <c r="G232" s="32" t="s">
        <v>3385</v>
      </c>
      <c r="H232" s="27" t="s">
        <v>3386</v>
      </c>
      <c r="I232" s="22" t="s">
        <v>3387</v>
      </c>
      <c r="J232" s="28">
        <v>250000</v>
      </c>
      <c r="K232" s="29">
        <v>0.48975</v>
      </c>
      <c r="L232" s="30">
        <f>-J232*K232</f>
        <v>-122437.5</v>
      </c>
      <c r="M232" s="30">
        <f>-SUM(43.33,244.88,6.07,1)</f>
        <v>-295.28</v>
      </c>
      <c r="N232" s="30">
        <f>L232+M232</f>
        <v>-122732.78</v>
      </c>
      <c r="O232" s="68"/>
    </row>
    <row r="234" spans="9:10" ht="15" thickBot="1">
      <c r="I234" s="47" t="s">
        <v>3314</v>
      </c>
      <c r="J234" s="73">
        <f>SUM(J231:J232)</f>
        <v>2250000</v>
      </c>
    </row>
    <row r="235" ht="15" thickTop="1"/>
  </sheetData>
  <autoFilter ref="B5:O204"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Masrur Rahman</dc:creator>
  <cp:keywords/>
  <dc:description/>
  <cp:lastModifiedBy>Jessica Orford</cp:lastModifiedBy>
  <cp:lastPrinted>2020-03-29T23:26:17Z</cp:lastPrinted>
  <dcterms:created xsi:type="dcterms:W3CDTF">2020-03-26T18:28:46Z</dcterms:created>
  <dcterms:modified xsi:type="dcterms:W3CDTF">2020-04-13T13:39:06Z</dcterms:modified>
  <cp:category/>
  <cp:version/>
  <cp:contentType/>
  <cp:contentStatus/>
</cp:coreProperties>
</file>